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thoma\Desktop\Masteroppgave endelig\"/>
    </mc:Choice>
  </mc:AlternateContent>
  <xr:revisionPtr revIDLastSave="0" documentId="13_ncr:1_{40691557-43A3-424C-A275-91769576683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Atea" sheetId="2" r:id="rId1"/>
    <sheet name="Bransje" sheetId="3" r:id="rId2"/>
    <sheet name="Avkastningskrav" sheetId="5" r:id="rId3"/>
    <sheet name="Rentabilitetsanalys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3" l="1"/>
  <c r="D70" i="3"/>
  <c r="E70" i="3"/>
  <c r="F70" i="3"/>
  <c r="G70" i="3"/>
  <c r="H70" i="3"/>
  <c r="C71" i="3"/>
  <c r="D71" i="3"/>
  <c r="E71" i="3"/>
  <c r="F71" i="3"/>
  <c r="G71" i="3"/>
  <c r="H71" i="3"/>
  <c r="C72" i="3"/>
  <c r="D72" i="3"/>
  <c r="E72" i="3"/>
  <c r="F72" i="3"/>
  <c r="G72" i="3"/>
  <c r="H72" i="3"/>
  <c r="C73" i="3"/>
  <c r="D73" i="3"/>
  <c r="E73" i="3"/>
  <c r="F73" i="3"/>
  <c r="G73" i="3"/>
  <c r="H73" i="3"/>
  <c r="C74" i="3"/>
  <c r="D74" i="3"/>
  <c r="E74" i="3"/>
  <c r="F74" i="3"/>
  <c r="G74" i="3"/>
  <c r="H74" i="3"/>
  <c r="C75" i="3"/>
  <c r="D75" i="3"/>
  <c r="E75" i="3"/>
  <c r="F75" i="3"/>
  <c r="G75" i="3"/>
  <c r="H75" i="3"/>
  <c r="C76" i="3"/>
  <c r="D76" i="3"/>
  <c r="E76" i="3"/>
  <c r="F76" i="3"/>
  <c r="G76" i="3"/>
  <c r="H76" i="3"/>
  <c r="C77" i="3"/>
  <c r="D77" i="3"/>
  <c r="E77" i="3"/>
  <c r="F77" i="3"/>
  <c r="G77" i="3"/>
  <c r="H77" i="3"/>
  <c r="C78" i="3"/>
  <c r="D78" i="3"/>
  <c r="E78" i="3"/>
  <c r="F78" i="3"/>
  <c r="G78" i="3"/>
  <c r="H78" i="3"/>
  <c r="C79" i="3"/>
  <c r="D79" i="3"/>
  <c r="E79" i="3"/>
  <c r="F79" i="3"/>
  <c r="G79" i="3"/>
  <c r="H79" i="3"/>
  <c r="C80" i="3"/>
  <c r="D80" i="3"/>
  <c r="E80" i="3"/>
  <c r="F80" i="3"/>
  <c r="G80" i="3"/>
  <c r="H80" i="3"/>
  <c r="C81" i="3"/>
  <c r="D81" i="3"/>
  <c r="E81" i="3"/>
  <c r="F81" i="3"/>
  <c r="G81" i="3"/>
  <c r="H81" i="3"/>
  <c r="C82" i="3"/>
  <c r="D82" i="3"/>
  <c r="E82" i="3"/>
  <c r="F82" i="3"/>
  <c r="G82" i="3"/>
  <c r="H82" i="3"/>
  <c r="C83" i="3"/>
  <c r="D83" i="3"/>
  <c r="E83" i="3"/>
  <c r="F83" i="3"/>
  <c r="G83" i="3"/>
  <c r="H83" i="3"/>
  <c r="C84" i="3"/>
  <c r="D84" i="3"/>
  <c r="E84" i="3"/>
  <c r="F84" i="3"/>
  <c r="G84" i="3"/>
  <c r="H84" i="3"/>
  <c r="C85" i="3"/>
  <c r="D85" i="3"/>
  <c r="E85" i="3"/>
  <c r="F85" i="3"/>
  <c r="G85" i="3"/>
  <c r="H85" i="3"/>
  <c r="C86" i="3"/>
  <c r="D86" i="3"/>
  <c r="E86" i="3"/>
  <c r="F86" i="3"/>
  <c r="G86" i="3"/>
  <c r="H86" i="3"/>
  <c r="C87" i="3"/>
  <c r="D87" i="3"/>
  <c r="E87" i="3"/>
  <c r="F87" i="3"/>
  <c r="G87" i="3"/>
  <c r="H87" i="3"/>
  <c r="I5" i="3"/>
  <c r="C12" i="4"/>
  <c r="D12" i="4"/>
  <c r="E12" i="4"/>
  <c r="F12" i="4"/>
  <c r="G12" i="4"/>
  <c r="H12" i="4"/>
  <c r="C12" i="5"/>
  <c r="C15" i="5" s="1"/>
  <c r="C8" i="5"/>
  <c r="C9" i="5" s="1"/>
  <c r="C29" i="5" s="1"/>
  <c r="G151" i="4"/>
  <c r="F151" i="4"/>
  <c r="E151" i="4"/>
  <c r="D151" i="4"/>
  <c r="C151" i="4"/>
  <c r="G143" i="4"/>
  <c r="F143" i="4"/>
  <c r="E143" i="4"/>
  <c r="D143" i="4"/>
  <c r="C143" i="4"/>
  <c r="C57" i="5" l="1"/>
  <c r="C30" i="5"/>
  <c r="E126" i="4"/>
  <c r="G126" i="4"/>
  <c r="D57" i="5"/>
  <c r="G57" i="5"/>
  <c r="H57" i="5"/>
  <c r="F126" i="4"/>
  <c r="E57" i="5"/>
  <c r="I57" i="5"/>
  <c r="D126" i="4"/>
  <c r="C126" i="4"/>
  <c r="F57" i="5"/>
  <c r="I52" i="5"/>
  <c r="D52" i="5"/>
  <c r="E52" i="5"/>
  <c r="F52" i="5"/>
  <c r="G52" i="5"/>
  <c r="H52" i="5"/>
  <c r="C52" i="5"/>
  <c r="D55" i="5"/>
  <c r="E55" i="5"/>
  <c r="F55" i="5"/>
  <c r="G55" i="5"/>
  <c r="H55" i="5"/>
  <c r="I55" i="5"/>
  <c r="C55" i="5"/>
  <c r="C47" i="5"/>
  <c r="D47" i="5"/>
  <c r="E47" i="5"/>
  <c r="F47" i="5"/>
  <c r="G47" i="5"/>
  <c r="H47" i="5"/>
  <c r="I47" i="5"/>
  <c r="C39" i="5"/>
  <c r="C37" i="5"/>
  <c r="G133" i="4"/>
  <c r="F133" i="4"/>
  <c r="E133" i="4"/>
  <c r="D133" i="4"/>
  <c r="C133" i="4"/>
  <c r="D152" i="4" l="1"/>
  <c r="E152" i="4"/>
  <c r="C152" i="4"/>
  <c r="F152" i="4"/>
  <c r="G152" i="4"/>
  <c r="F144" i="4"/>
  <c r="E144" i="4"/>
  <c r="H152" i="4"/>
  <c r="C144" i="4"/>
  <c r="G144" i="4"/>
  <c r="D144" i="4"/>
  <c r="H144" i="4" l="1"/>
  <c r="G125" i="4" l="1"/>
  <c r="F125" i="4"/>
  <c r="E125" i="4"/>
  <c r="D125" i="4"/>
  <c r="C125" i="4"/>
  <c r="G112" i="4"/>
  <c r="F112" i="4"/>
  <c r="E112" i="4"/>
  <c r="D112" i="4"/>
  <c r="C112" i="4"/>
  <c r="G104" i="4"/>
  <c r="F104" i="4"/>
  <c r="E104" i="4"/>
  <c r="D104" i="4"/>
  <c r="C104" i="4"/>
  <c r="G90" i="4"/>
  <c r="F90" i="4"/>
  <c r="E90" i="4"/>
  <c r="D90" i="4"/>
  <c r="C90" i="4"/>
  <c r="H126" i="4" l="1"/>
  <c r="H106" i="4"/>
  <c r="H105" i="4"/>
  <c r="H107" i="4"/>
  <c r="H95" i="4"/>
  <c r="H91" i="4"/>
  <c r="G78" i="4"/>
  <c r="F78" i="4"/>
  <c r="E78" i="4"/>
  <c r="D78" i="4"/>
  <c r="C78" i="4"/>
  <c r="G60" i="4"/>
  <c r="F60" i="4"/>
  <c r="E60" i="4"/>
  <c r="D60" i="4"/>
  <c r="C60" i="4"/>
  <c r="G41" i="4"/>
  <c r="F41" i="4"/>
  <c r="E41" i="4"/>
  <c r="D41" i="4"/>
  <c r="G34" i="4"/>
  <c r="F34" i="4"/>
  <c r="E34" i="4"/>
  <c r="D34" i="4"/>
  <c r="C34" i="4"/>
  <c r="G27" i="4"/>
  <c r="D27" i="4"/>
  <c r="C27" i="4"/>
  <c r="F27" i="4"/>
  <c r="E27" i="4"/>
  <c r="H28" i="4" l="1"/>
  <c r="C43" i="4"/>
  <c r="D66" i="3"/>
  <c r="D67" i="3" s="1"/>
  <c r="E66" i="3"/>
  <c r="E67" i="3" s="1"/>
  <c r="F66" i="3"/>
  <c r="F67" i="3" s="1"/>
  <c r="G66" i="3"/>
  <c r="G67" i="3" s="1"/>
  <c r="H66" i="3"/>
  <c r="H67" i="3" s="1"/>
  <c r="D62" i="4"/>
  <c r="E62" i="4"/>
  <c r="F62" i="4"/>
  <c r="G62" i="4"/>
  <c r="C62" i="4"/>
  <c r="C113" i="4" s="1"/>
  <c r="D36" i="4"/>
  <c r="E36" i="4"/>
  <c r="F36" i="4"/>
  <c r="G36" i="4"/>
  <c r="C36" i="4"/>
  <c r="D43" i="4"/>
  <c r="E43" i="4"/>
  <c r="F43" i="4"/>
  <c r="G43" i="4"/>
  <c r="E55" i="4"/>
  <c r="D73" i="2"/>
  <c r="E73" i="2"/>
  <c r="F73" i="2"/>
  <c r="G73" i="2"/>
  <c r="H73" i="2"/>
  <c r="I73" i="2"/>
  <c r="D74" i="2"/>
  <c r="E74" i="2"/>
  <c r="F74" i="2"/>
  <c r="G74" i="2"/>
  <c r="H74" i="2"/>
  <c r="I74" i="2"/>
  <c r="D75" i="2"/>
  <c r="E75" i="2"/>
  <c r="F75" i="2"/>
  <c r="G75" i="2"/>
  <c r="H75" i="2"/>
  <c r="I75" i="2"/>
  <c r="D76" i="2"/>
  <c r="E76" i="2"/>
  <c r="F76" i="2"/>
  <c r="G76" i="2"/>
  <c r="H76" i="2"/>
  <c r="I76" i="2"/>
  <c r="D77" i="2"/>
  <c r="E77" i="2"/>
  <c r="F77" i="2"/>
  <c r="E54" i="4" s="1"/>
  <c r="G77" i="2"/>
  <c r="F54" i="4" s="1"/>
  <c r="H77" i="2"/>
  <c r="G54" i="4" s="1"/>
  <c r="I77" i="2"/>
  <c r="D78" i="2"/>
  <c r="E78" i="2"/>
  <c r="F78" i="2"/>
  <c r="G78" i="2"/>
  <c r="H78" i="2"/>
  <c r="I78" i="2"/>
  <c r="D79" i="2"/>
  <c r="E79" i="2"/>
  <c r="F79" i="2"/>
  <c r="G79" i="2"/>
  <c r="H79" i="2"/>
  <c r="I79" i="2"/>
  <c r="D80" i="2"/>
  <c r="E80" i="2"/>
  <c r="F80" i="2"/>
  <c r="G80" i="2"/>
  <c r="H80" i="2"/>
  <c r="I80" i="2"/>
  <c r="D81" i="2"/>
  <c r="E81" i="2"/>
  <c r="F81" i="2"/>
  <c r="G81" i="2"/>
  <c r="H81" i="2"/>
  <c r="I81" i="2"/>
  <c r="D82" i="2"/>
  <c r="E82" i="2"/>
  <c r="F82" i="2"/>
  <c r="G82" i="2"/>
  <c r="H82" i="2"/>
  <c r="I82" i="2"/>
  <c r="D83" i="2"/>
  <c r="E83" i="2"/>
  <c r="F83" i="2"/>
  <c r="G83" i="2"/>
  <c r="H83" i="2"/>
  <c r="I83" i="2"/>
  <c r="D84" i="2"/>
  <c r="E84" i="2"/>
  <c r="F84" i="2"/>
  <c r="G84" i="2"/>
  <c r="H84" i="2"/>
  <c r="I84" i="2"/>
  <c r="D85" i="2"/>
  <c r="E85" i="2"/>
  <c r="F85" i="2"/>
  <c r="G85" i="2"/>
  <c r="H85" i="2"/>
  <c r="I85" i="2"/>
  <c r="D86" i="2"/>
  <c r="E86" i="2"/>
  <c r="F86" i="2"/>
  <c r="G86" i="2"/>
  <c r="H86" i="2"/>
  <c r="I86" i="2"/>
  <c r="D87" i="2"/>
  <c r="E87" i="2"/>
  <c r="F87" i="2"/>
  <c r="G87" i="2"/>
  <c r="H87" i="2"/>
  <c r="I87" i="2"/>
  <c r="D88" i="2"/>
  <c r="E88" i="2"/>
  <c r="F88" i="2"/>
  <c r="G88" i="2"/>
  <c r="H88" i="2"/>
  <c r="I88" i="2"/>
  <c r="D89" i="2"/>
  <c r="E89" i="2"/>
  <c r="F89" i="2"/>
  <c r="G89" i="2"/>
  <c r="H89" i="2"/>
  <c r="I89" i="2"/>
  <c r="D90" i="2"/>
  <c r="E90" i="2"/>
  <c r="F90" i="2"/>
  <c r="G90" i="2"/>
  <c r="H90" i="2"/>
  <c r="I90" i="2"/>
  <c r="D91" i="2"/>
  <c r="E91" i="2"/>
  <c r="F91" i="2"/>
  <c r="G91" i="2"/>
  <c r="H91" i="2"/>
  <c r="I91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73" i="2"/>
  <c r="C51" i="4"/>
  <c r="D51" i="4"/>
  <c r="E51" i="4"/>
  <c r="F51" i="4"/>
  <c r="G51" i="4"/>
  <c r="C50" i="4"/>
  <c r="D50" i="4"/>
  <c r="E50" i="4"/>
  <c r="F50" i="4"/>
  <c r="G50" i="4"/>
  <c r="C47" i="4"/>
  <c r="D47" i="4"/>
  <c r="E47" i="4"/>
  <c r="F47" i="4"/>
  <c r="G47" i="4"/>
  <c r="C46" i="4"/>
  <c r="D46" i="4"/>
  <c r="E46" i="4"/>
  <c r="F46" i="4"/>
  <c r="G46" i="4"/>
  <c r="C42" i="4"/>
  <c r="D42" i="4"/>
  <c r="D116" i="4" s="1"/>
  <c r="E42" i="4"/>
  <c r="E116" i="4" s="1"/>
  <c r="F42" i="4"/>
  <c r="F116" i="4" s="1"/>
  <c r="G42" i="4"/>
  <c r="G116" i="4" s="1"/>
  <c r="I67" i="2"/>
  <c r="H67" i="2"/>
  <c r="G67" i="2"/>
  <c r="F67" i="2"/>
  <c r="E67" i="2"/>
  <c r="D67" i="2"/>
  <c r="C67" i="2"/>
  <c r="I59" i="2"/>
  <c r="H59" i="2"/>
  <c r="G59" i="2"/>
  <c r="F59" i="2"/>
  <c r="E59" i="2"/>
  <c r="E60" i="2" s="1"/>
  <c r="D59" i="2"/>
  <c r="C59" i="2"/>
  <c r="I49" i="2"/>
  <c r="H49" i="2"/>
  <c r="G49" i="2"/>
  <c r="F49" i="2"/>
  <c r="E49" i="2"/>
  <c r="D49" i="2"/>
  <c r="D7" i="4" s="1"/>
  <c r="C49" i="2"/>
  <c r="I43" i="2"/>
  <c r="H43" i="2"/>
  <c r="G43" i="2"/>
  <c r="F43" i="2"/>
  <c r="E43" i="2"/>
  <c r="D43" i="2"/>
  <c r="C43" i="2"/>
  <c r="I36" i="2"/>
  <c r="H36" i="2"/>
  <c r="G36" i="2"/>
  <c r="F36" i="2"/>
  <c r="E36" i="2"/>
  <c r="C36" i="2"/>
  <c r="D30" i="2"/>
  <c r="G55" i="4" l="1"/>
  <c r="G56" i="4" s="1"/>
  <c r="D55" i="4"/>
  <c r="C55" i="4"/>
  <c r="D60" i="2"/>
  <c r="C54" i="4"/>
  <c r="E44" i="2"/>
  <c r="F44" i="2"/>
  <c r="C68" i="2"/>
  <c r="F7" i="4"/>
  <c r="E7" i="4"/>
  <c r="D54" i="4"/>
  <c r="D56" i="4" s="1"/>
  <c r="C69" i="2"/>
  <c r="C44" i="5"/>
  <c r="D145" i="4"/>
  <c r="D146" i="4"/>
  <c r="E85" i="4"/>
  <c r="D98" i="4" s="1"/>
  <c r="G68" i="2"/>
  <c r="G153" i="4"/>
  <c r="G154" i="4"/>
  <c r="H86" i="4"/>
  <c r="I68" i="2"/>
  <c r="C18" i="5"/>
  <c r="E13" i="4"/>
  <c r="E14" i="4" s="1"/>
  <c r="E35" i="4" s="1"/>
  <c r="C44" i="2"/>
  <c r="E17" i="4"/>
  <c r="D21" i="4"/>
  <c r="I44" i="2"/>
  <c r="C145" i="4"/>
  <c r="C146" i="4"/>
  <c r="D85" i="4"/>
  <c r="C98" i="4" s="1"/>
  <c r="C60" i="2"/>
  <c r="C17" i="4"/>
  <c r="C7" i="4"/>
  <c r="C19" i="5"/>
  <c r="D36" i="2"/>
  <c r="H60" i="2"/>
  <c r="G21" i="4"/>
  <c r="H17" i="4"/>
  <c r="H44" i="2"/>
  <c r="D154" i="4"/>
  <c r="D153" i="4"/>
  <c r="E86" i="4"/>
  <c r="D68" i="2"/>
  <c r="H68" i="2"/>
  <c r="E146" i="4"/>
  <c r="E145" i="4"/>
  <c r="F85" i="4"/>
  <c r="E98" i="4" s="1"/>
  <c r="F17" i="4"/>
  <c r="E21" i="4"/>
  <c r="G60" i="2"/>
  <c r="G17" i="4"/>
  <c r="F21" i="4"/>
  <c r="C154" i="4"/>
  <c r="C153" i="4"/>
  <c r="D86" i="4"/>
  <c r="E68" i="2"/>
  <c r="E153" i="4"/>
  <c r="E154" i="4"/>
  <c r="F86" i="4"/>
  <c r="H7" i="4"/>
  <c r="C21" i="4"/>
  <c r="D17" i="4"/>
  <c r="G44" i="2"/>
  <c r="F146" i="4"/>
  <c r="F145" i="4"/>
  <c r="G85" i="4"/>
  <c r="F98" i="4" s="1"/>
  <c r="G146" i="4"/>
  <c r="G145" i="4"/>
  <c r="H85" i="4"/>
  <c r="G98" i="4" s="1"/>
  <c r="I60" i="2"/>
  <c r="H21" i="4"/>
  <c r="F68" i="2"/>
  <c r="F153" i="4"/>
  <c r="F154" i="4"/>
  <c r="G86" i="4"/>
  <c r="G7" i="4"/>
  <c r="H47" i="4"/>
  <c r="H50" i="4"/>
  <c r="H42" i="4"/>
  <c r="H46" i="4"/>
  <c r="H51" i="4"/>
  <c r="H43" i="4"/>
  <c r="H36" i="4"/>
  <c r="C116" i="4"/>
  <c r="G65" i="4"/>
  <c r="G113" i="4"/>
  <c r="F65" i="4"/>
  <c r="F113" i="4"/>
  <c r="D65" i="4"/>
  <c r="D113" i="4"/>
  <c r="E65" i="4"/>
  <c r="E113" i="4"/>
  <c r="C65" i="4"/>
  <c r="H62" i="4"/>
  <c r="E56" i="4"/>
  <c r="C56" i="4"/>
  <c r="G44" i="4"/>
  <c r="F55" i="4"/>
  <c r="F56" i="4" s="1"/>
  <c r="F48" i="4"/>
  <c r="F52" i="4"/>
  <c r="D52" i="4"/>
  <c r="G48" i="4"/>
  <c r="E52" i="4"/>
  <c r="G52" i="4"/>
  <c r="E48" i="4"/>
  <c r="D48" i="4"/>
  <c r="C48" i="4"/>
  <c r="F44" i="4"/>
  <c r="E44" i="4"/>
  <c r="D44" i="4"/>
  <c r="C44" i="4"/>
  <c r="C52" i="4"/>
  <c r="F60" i="2"/>
  <c r="D155" i="4" l="1"/>
  <c r="G147" i="4"/>
  <c r="H54" i="4"/>
  <c r="D147" i="4"/>
  <c r="E15" i="4"/>
  <c r="E155" i="4"/>
  <c r="C127" i="4"/>
  <c r="F61" i="4"/>
  <c r="E61" i="4"/>
  <c r="H98" i="4"/>
  <c r="H146" i="4"/>
  <c r="F155" i="4"/>
  <c r="G155" i="4"/>
  <c r="H13" i="4"/>
  <c r="H14" i="4" s="1"/>
  <c r="H15" i="4"/>
  <c r="G69" i="2"/>
  <c r="G16" i="4"/>
  <c r="G127" i="4"/>
  <c r="G44" i="5"/>
  <c r="G128" i="4"/>
  <c r="G82" i="4"/>
  <c r="G13" i="4"/>
  <c r="G14" i="4" s="1"/>
  <c r="G15" i="4"/>
  <c r="F69" i="2"/>
  <c r="F16" i="4"/>
  <c r="F127" i="4"/>
  <c r="F44" i="5"/>
  <c r="F128" i="4"/>
  <c r="F129" i="4" s="1"/>
  <c r="F138" i="4" s="1"/>
  <c r="F82" i="4"/>
  <c r="E147" i="4"/>
  <c r="D44" i="2"/>
  <c r="C61" i="4" s="1"/>
  <c r="C59" i="5"/>
  <c r="C58" i="5"/>
  <c r="C128" i="4"/>
  <c r="H48" i="4"/>
  <c r="F147" i="4"/>
  <c r="H69" i="2"/>
  <c r="H16" i="4"/>
  <c r="H44" i="5"/>
  <c r="D69" i="2"/>
  <c r="D16" i="4"/>
  <c r="D127" i="4"/>
  <c r="D44" i="5"/>
  <c r="D128" i="4"/>
  <c r="D82" i="4"/>
  <c r="C82" i="4"/>
  <c r="E69" i="2"/>
  <c r="E16" i="4"/>
  <c r="E44" i="5"/>
  <c r="E127" i="4"/>
  <c r="E128" i="4"/>
  <c r="E82" i="4"/>
  <c r="H153" i="4"/>
  <c r="C155" i="4"/>
  <c r="C20" i="5"/>
  <c r="C16" i="4"/>
  <c r="H145" i="4"/>
  <c r="C147" i="4"/>
  <c r="F15" i="4"/>
  <c r="F13" i="4"/>
  <c r="F14" i="4" s="1"/>
  <c r="G61" i="4"/>
  <c r="H154" i="4"/>
  <c r="I69" i="2"/>
  <c r="I44" i="5"/>
  <c r="H44" i="4"/>
  <c r="H52" i="4"/>
  <c r="H55" i="4"/>
  <c r="H56" i="4"/>
  <c r="C114" i="4"/>
  <c r="C70" i="4"/>
  <c r="D70" i="4"/>
  <c r="D114" i="4"/>
  <c r="F70" i="4"/>
  <c r="F114" i="4"/>
  <c r="F115" i="4" s="1"/>
  <c r="D115" i="4"/>
  <c r="E70" i="4"/>
  <c r="E114" i="4"/>
  <c r="E115" i="4" s="1"/>
  <c r="G70" i="4"/>
  <c r="G114" i="4"/>
  <c r="G115" i="4" s="1"/>
  <c r="H113" i="4"/>
  <c r="H116" i="4"/>
  <c r="E37" i="4"/>
  <c r="E79" i="4"/>
  <c r="H65" i="4"/>
  <c r="E129" i="4" l="1"/>
  <c r="E138" i="4" s="1"/>
  <c r="H127" i="4"/>
  <c r="G129" i="4"/>
  <c r="G138" i="4" s="1"/>
  <c r="E64" i="4"/>
  <c r="E66" i="4" s="1"/>
  <c r="E63" i="4"/>
  <c r="F64" i="4"/>
  <c r="F66" i="4" s="1"/>
  <c r="F63" i="4"/>
  <c r="H155" i="4"/>
  <c r="D58" i="5"/>
  <c r="D59" i="5"/>
  <c r="C64" i="4"/>
  <c r="C63" i="4"/>
  <c r="D129" i="4"/>
  <c r="D138" i="4" s="1"/>
  <c r="G18" i="4"/>
  <c r="G19" i="4"/>
  <c r="C18" i="4"/>
  <c r="C19" i="4"/>
  <c r="H18" i="4"/>
  <c r="H19" i="4"/>
  <c r="H58" i="5"/>
  <c r="H59" i="5"/>
  <c r="G58" i="5"/>
  <c r="G59" i="5"/>
  <c r="E18" i="4"/>
  <c r="E19" i="4"/>
  <c r="C15" i="4"/>
  <c r="C13" i="4"/>
  <c r="C14" i="4" s="1"/>
  <c r="D61" i="4"/>
  <c r="H61" i="4" s="1"/>
  <c r="D13" i="4"/>
  <c r="D14" i="4" s="1"/>
  <c r="D15" i="4"/>
  <c r="F58" i="5"/>
  <c r="F59" i="5"/>
  <c r="G64" i="4"/>
  <c r="G66" i="4" s="1"/>
  <c r="G63" i="4"/>
  <c r="H128" i="4"/>
  <c r="F18" i="4"/>
  <c r="F19" i="4"/>
  <c r="C38" i="5"/>
  <c r="C40" i="5" s="1"/>
  <c r="C24" i="5"/>
  <c r="C25" i="5" s="1"/>
  <c r="C31" i="5" s="1"/>
  <c r="D18" i="4"/>
  <c r="D19" i="4"/>
  <c r="H147" i="4"/>
  <c r="G35" i="4"/>
  <c r="I58" i="5"/>
  <c r="I59" i="5"/>
  <c r="E59" i="5"/>
  <c r="E58" i="5"/>
  <c r="H82" i="4"/>
  <c r="F35" i="4"/>
  <c r="C129" i="4"/>
  <c r="H114" i="4"/>
  <c r="C115" i="4"/>
  <c r="H115" i="4" s="1"/>
  <c r="H20" i="4" l="1"/>
  <c r="G20" i="4"/>
  <c r="F20" i="4"/>
  <c r="E71" i="4"/>
  <c r="E72" i="4" s="1"/>
  <c r="E117" i="4"/>
  <c r="E118" i="4" s="1"/>
  <c r="E119" i="4" s="1"/>
  <c r="E134" i="4" s="1"/>
  <c r="F71" i="4"/>
  <c r="F72" i="4" s="1"/>
  <c r="F117" i="4"/>
  <c r="F118" i="4" s="1"/>
  <c r="F119" i="4" s="1"/>
  <c r="F134" i="4" s="1"/>
  <c r="C26" i="5"/>
  <c r="C32" i="5" s="1"/>
  <c r="C33" i="5" s="1"/>
  <c r="G117" i="4"/>
  <c r="G118" i="4" s="1"/>
  <c r="G119" i="4" s="1"/>
  <c r="G134" i="4" s="1"/>
  <c r="G71" i="4"/>
  <c r="G72" i="4" s="1"/>
  <c r="G37" i="4"/>
  <c r="G79" i="4"/>
  <c r="C117" i="4"/>
  <c r="C71" i="4"/>
  <c r="C72" i="4" s="1"/>
  <c r="D64" i="4"/>
  <c r="D66" i="4" s="1"/>
  <c r="D63" i="4"/>
  <c r="E20" i="4"/>
  <c r="C66" i="4"/>
  <c r="D20" i="4"/>
  <c r="D35" i="4"/>
  <c r="C20" i="4"/>
  <c r="C35" i="4"/>
  <c r="F48" i="5"/>
  <c r="F53" i="5" s="1"/>
  <c r="F54" i="5" s="1"/>
  <c r="F56" i="5" s="1"/>
  <c r="E48" i="5"/>
  <c r="E53" i="5" s="1"/>
  <c r="E54" i="5" s="1"/>
  <c r="E56" i="5" s="1"/>
  <c r="G48" i="5"/>
  <c r="G53" i="5" s="1"/>
  <c r="G54" i="5" s="1"/>
  <c r="G56" i="5" s="1"/>
  <c r="C48" i="5"/>
  <c r="C53" i="5" s="1"/>
  <c r="C54" i="5" s="1"/>
  <c r="C56" i="5" s="1"/>
  <c r="C60" i="5" s="1"/>
  <c r="I48" i="5"/>
  <c r="I53" i="5" s="1"/>
  <c r="D48" i="5"/>
  <c r="D53" i="5" s="1"/>
  <c r="D54" i="5" s="1"/>
  <c r="D56" i="5" s="1"/>
  <c r="H48" i="5"/>
  <c r="H53" i="5" s="1"/>
  <c r="H54" i="5" s="1"/>
  <c r="H56" i="5" s="1"/>
  <c r="C138" i="4"/>
  <c r="H138" i="4" s="1"/>
  <c r="H129" i="4"/>
  <c r="F37" i="4"/>
  <c r="F79" i="4"/>
  <c r="H64" i="4" l="1"/>
  <c r="H66" i="4"/>
  <c r="D79" i="4"/>
  <c r="D37" i="4"/>
  <c r="G8" i="4"/>
  <c r="G9" i="4" s="1"/>
  <c r="H60" i="5"/>
  <c r="G29" i="4" s="1"/>
  <c r="D117" i="4"/>
  <c r="D118" i="4" s="1"/>
  <c r="D119" i="4" s="1"/>
  <c r="D134" i="4" s="1"/>
  <c r="D71" i="4"/>
  <c r="D72" i="4" s="1"/>
  <c r="I54" i="5"/>
  <c r="I56" i="5" s="1"/>
  <c r="F8" i="4"/>
  <c r="F9" i="4" s="1"/>
  <c r="G60" i="5"/>
  <c r="F29" i="4" s="1"/>
  <c r="D8" i="4"/>
  <c r="D9" i="4" s="1"/>
  <c r="E60" i="5"/>
  <c r="D29" i="4" s="1"/>
  <c r="H35" i="4"/>
  <c r="C79" i="4"/>
  <c r="C37" i="4"/>
  <c r="H37" i="4" s="1"/>
  <c r="D60" i="5"/>
  <c r="C29" i="4" s="1"/>
  <c r="C8" i="4"/>
  <c r="C9" i="4" s="1"/>
  <c r="H63" i="4"/>
  <c r="C118" i="4"/>
  <c r="F60" i="5"/>
  <c r="E29" i="4" s="1"/>
  <c r="E8" i="4"/>
  <c r="E9" i="4" s="1"/>
  <c r="H117" i="4" l="1"/>
  <c r="E92" i="4"/>
  <c r="E30" i="4"/>
  <c r="E80" i="4"/>
  <c r="E81" i="4" s="1"/>
  <c r="C80" i="4"/>
  <c r="C92" i="4"/>
  <c r="C30" i="4"/>
  <c r="H29" i="4"/>
  <c r="D92" i="4"/>
  <c r="D80" i="4"/>
  <c r="D81" i="4" s="1"/>
  <c r="D30" i="4"/>
  <c r="H118" i="4"/>
  <c r="C119" i="4"/>
  <c r="I60" i="5"/>
  <c r="H8" i="4"/>
  <c r="H9" i="4" s="1"/>
  <c r="C81" i="4"/>
  <c r="H79" i="4"/>
  <c r="F92" i="4"/>
  <c r="F80" i="4"/>
  <c r="F81" i="4" s="1"/>
  <c r="F30" i="4"/>
  <c r="G92" i="4"/>
  <c r="G80" i="4"/>
  <c r="G81" i="4" s="1"/>
  <c r="G30" i="4"/>
  <c r="D93" i="4" l="1"/>
  <c r="D83" i="4"/>
  <c r="F93" i="4"/>
  <c r="F83" i="4"/>
  <c r="G83" i="4"/>
  <c r="G93" i="4"/>
  <c r="F135" i="4"/>
  <c r="F73" i="4"/>
  <c r="F74" i="4" s="1"/>
  <c r="F108" i="4"/>
  <c r="F109" i="4" s="1"/>
  <c r="F136" i="4" s="1"/>
  <c r="E83" i="4"/>
  <c r="E93" i="4"/>
  <c r="C83" i="4"/>
  <c r="H81" i="4"/>
  <c r="C93" i="4"/>
  <c r="H119" i="4"/>
  <c r="C134" i="4"/>
  <c r="D135" i="4"/>
  <c r="D73" i="4"/>
  <c r="D74" i="4" s="1"/>
  <c r="D108" i="4"/>
  <c r="D109" i="4" s="1"/>
  <c r="D136" i="4" s="1"/>
  <c r="G135" i="4"/>
  <c r="G73" i="4"/>
  <c r="G74" i="4" s="1"/>
  <c r="G108" i="4"/>
  <c r="G109" i="4" s="1"/>
  <c r="G136" i="4" s="1"/>
  <c r="C108" i="4"/>
  <c r="C135" i="4"/>
  <c r="C73" i="4"/>
  <c r="C74" i="4" s="1"/>
  <c r="H30" i="4"/>
  <c r="H92" i="4"/>
  <c r="H80" i="4"/>
  <c r="E135" i="4"/>
  <c r="E108" i="4"/>
  <c r="E109" i="4" s="1"/>
  <c r="E136" i="4" s="1"/>
  <c r="E73" i="4"/>
  <c r="E74" i="4" s="1"/>
  <c r="H83" i="4" l="1"/>
  <c r="H134" i="4"/>
  <c r="H93" i="4"/>
  <c r="C96" i="4"/>
  <c r="C99" i="4"/>
  <c r="E99" i="4"/>
  <c r="E96" i="4"/>
  <c r="C109" i="4"/>
  <c r="H108" i="4"/>
  <c r="G99" i="4"/>
  <c r="G96" i="4"/>
  <c r="F99" i="4"/>
  <c r="F96" i="4"/>
  <c r="E137" i="4"/>
  <c r="E139" i="4" s="1"/>
  <c r="H135" i="4"/>
  <c r="F137" i="4"/>
  <c r="F139" i="4" s="1"/>
  <c r="G137" i="4"/>
  <c r="G139" i="4" s="1"/>
  <c r="D137" i="4"/>
  <c r="D139" i="4" s="1"/>
  <c r="D96" i="4"/>
  <c r="D99" i="4"/>
  <c r="F100" i="4" l="1"/>
  <c r="E100" i="4"/>
  <c r="G100" i="4"/>
  <c r="D100" i="4"/>
  <c r="C136" i="4"/>
  <c r="H109" i="4"/>
  <c r="H99" i="4"/>
  <c r="H96" i="4"/>
  <c r="C100" i="4"/>
  <c r="H100" i="4" l="1"/>
  <c r="H136" i="4"/>
  <c r="C137" i="4"/>
  <c r="C139" i="4" l="1"/>
  <c r="H137" i="4"/>
  <c r="H139" i="4" l="1"/>
</calcChain>
</file>

<file path=xl/sharedStrings.xml><?xml version="1.0" encoding="utf-8"?>
<sst xmlns="http://schemas.openxmlformats.org/spreadsheetml/2006/main" count="376" uniqueCount="247">
  <si>
    <t>Atea omgruppert resultat</t>
  </si>
  <si>
    <t>NOK in million</t>
  </si>
  <si>
    <t>2023T</t>
  </si>
  <si>
    <t xml:space="preserve">Revenue </t>
  </si>
  <si>
    <t>Cost of sales</t>
  </si>
  <si>
    <t>Gross profit</t>
  </si>
  <si>
    <t>Payroll and related costs</t>
  </si>
  <si>
    <t>Other operating costs</t>
  </si>
  <si>
    <t>EBITDA</t>
  </si>
  <si>
    <t>Depreciation and amortisation</t>
  </si>
  <si>
    <t>Operating profit (EBIT)</t>
  </si>
  <si>
    <t>Taxe effect, operating profit</t>
  </si>
  <si>
    <t>Net operating profit after tax (NOPAT)</t>
  </si>
  <si>
    <t>Financial income</t>
  </si>
  <si>
    <t xml:space="preserve">Financial expense </t>
  </si>
  <si>
    <t>Tax shield, net financial items (22%)</t>
  </si>
  <si>
    <t>Net financial items, after taxes</t>
  </si>
  <si>
    <t>Net profit, before special items</t>
  </si>
  <si>
    <t>Sale of Atea mobile business</t>
  </si>
  <si>
    <t>Restructuring costs</t>
  </si>
  <si>
    <t>Tax effect, special items (22%)</t>
  </si>
  <si>
    <t>Profit for the period</t>
  </si>
  <si>
    <t>Atea omgruppert balanse</t>
  </si>
  <si>
    <t>Atea Balance Sheet</t>
  </si>
  <si>
    <t>31.12.2023T</t>
  </si>
  <si>
    <t xml:space="preserve">Driftsmessige eiendeler: </t>
  </si>
  <si>
    <t xml:space="preserve">Property, plant and equipment </t>
  </si>
  <si>
    <t>Deffered tax assets</t>
  </si>
  <si>
    <t>Goodwill</t>
  </si>
  <si>
    <t>Other intangible assets</t>
  </si>
  <si>
    <t>Investment in associated companies</t>
  </si>
  <si>
    <t>Other long-term receivables</t>
  </si>
  <si>
    <t>Inventories</t>
  </si>
  <si>
    <t>Trade receivables</t>
  </si>
  <si>
    <t>Other receivables</t>
  </si>
  <si>
    <t>Sum driftsmessige eiendeler</t>
  </si>
  <si>
    <t>(-)Driftsmessige forpliktelser:</t>
  </si>
  <si>
    <t>Deferred tax liabilities</t>
  </si>
  <si>
    <t>Trade payables</t>
  </si>
  <si>
    <t>Tax payable</t>
  </si>
  <si>
    <t>Provisions</t>
  </si>
  <si>
    <t>Other current liabilities</t>
  </si>
  <si>
    <t>Sum driftsmessige forpliktelser</t>
  </si>
  <si>
    <t>Netto driftsmessige eiendeler</t>
  </si>
  <si>
    <t>Egenkapital:</t>
  </si>
  <si>
    <t>Share capital and premium</t>
  </si>
  <si>
    <t>Other reserves</t>
  </si>
  <si>
    <t>Retained earnings</t>
  </si>
  <si>
    <t>Sum egenkapital</t>
  </si>
  <si>
    <t>Finansiell gjeld:</t>
  </si>
  <si>
    <t>Interest-bearing long-term liabilities</t>
  </si>
  <si>
    <t>Long-term sublease liabilities</t>
  </si>
  <si>
    <t>Long-term leasing liabilities</t>
  </si>
  <si>
    <t>Other long-term liabilities</t>
  </si>
  <si>
    <t>Interest-bearing current liabilities</t>
  </si>
  <si>
    <t>Current sublease liabilities</t>
  </si>
  <si>
    <t>Current leasing liabilities</t>
  </si>
  <si>
    <t>Other financial liabilities</t>
  </si>
  <si>
    <t>Sum finansiell gjeld</t>
  </si>
  <si>
    <t>Sysselsatt kapital</t>
  </si>
  <si>
    <t>(-)Finansielle eiendeler:</t>
  </si>
  <si>
    <t>Right-of-use assets</t>
  </si>
  <si>
    <t xml:space="preserve">Long-term subleasing receivables </t>
  </si>
  <si>
    <t>Short-term subleasing receivables</t>
  </si>
  <si>
    <t>Other financial assets</t>
  </si>
  <si>
    <t>Cash and cash equivalents</t>
  </si>
  <si>
    <t>Sum fiansielle eiendeler</t>
  </si>
  <si>
    <t>Netto finansiell gjeld</t>
  </si>
  <si>
    <t>Egenkapitalkostnad</t>
  </si>
  <si>
    <t>Skattesats</t>
  </si>
  <si>
    <t>WACC</t>
  </si>
  <si>
    <t>Egenkapitalandel (E/EV)</t>
  </si>
  <si>
    <t>Gjeldsandel (D/EV)</t>
  </si>
  <si>
    <t>Other operating income</t>
  </si>
  <si>
    <t>Total revenue</t>
  </si>
  <si>
    <t>Cost of goods and services</t>
  </si>
  <si>
    <t>Personnel expenses</t>
  </si>
  <si>
    <t>Other operating expenses</t>
  </si>
  <si>
    <t xml:space="preserve">Depreciation and amortization </t>
  </si>
  <si>
    <t>Taxes from operations</t>
  </si>
  <si>
    <t>Net operating profit after taxes (NOPAT)</t>
  </si>
  <si>
    <t>Financial expenses</t>
  </si>
  <si>
    <t>Net financial items, before tax</t>
  </si>
  <si>
    <t>Tax shield on net financial items (22%)</t>
  </si>
  <si>
    <t>Net financial items, after tax</t>
  </si>
  <si>
    <t>Net profit</t>
  </si>
  <si>
    <t>Bransje omgruppert resultat</t>
  </si>
  <si>
    <t>Omgruppert bransjeregnskap</t>
  </si>
  <si>
    <t>Bransjebalanse</t>
  </si>
  <si>
    <t>Driftsmessige eiendeler</t>
  </si>
  <si>
    <t xml:space="preserve">Property plant and equipment </t>
  </si>
  <si>
    <t>Other non-current assets</t>
  </si>
  <si>
    <t>Trade and other receivables</t>
  </si>
  <si>
    <t>Current tax assets</t>
  </si>
  <si>
    <t>Other current assets</t>
  </si>
  <si>
    <t>-Driftsmessige forpliktelser</t>
  </si>
  <si>
    <t>Deffered tax liablities</t>
  </si>
  <si>
    <t>=Netto driftsmessige eiendeler</t>
  </si>
  <si>
    <t xml:space="preserve">Egenkapital </t>
  </si>
  <si>
    <t>Finansielle forpliktelser</t>
  </si>
  <si>
    <t>Sum finansielle forpliktelser</t>
  </si>
  <si>
    <t>-Finansielle eiendeler</t>
  </si>
  <si>
    <t>Right of use assets (RoU)</t>
  </si>
  <si>
    <t>Other current financial assets</t>
  </si>
  <si>
    <t>Sum finansielle eiendeler</t>
  </si>
  <si>
    <t>Netto finansielle forpliktelser</t>
  </si>
  <si>
    <t>Rentabilitetsanalyse</t>
  </si>
  <si>
    <t>Strategisk fordel</t>
  </si>
  <si>
    <t>-Avkastningskrav til egenkapitalen</t>
  </si>
  <si>
    <t>Egenkapitalrentabilitet (ROE)</t>
  </si>
  <si>
    <t>Strategisk fordel:</t>
  </si>
  <si>
    <t>Kontroll</t>
  </si>
  <si>
    <t>ROE</t>
  </si>
  <si>
    <t>ROE = ROIC+(ROIC-NBC)*NIBL/BVE</t>
  </si>
  <si>
    <t>ROIC</t>
  </si>
  <si>
    <t>NBC</t>
  </si>
  <si>
    <t>ROE (kontroll)</t>
  </si>
  <si>
    <t>NIBL/BVE</t>
  </si>
  <si>
    <t>Gjennomsnittlig egenkapital (BVE)</t>
  </si>
  <si>
    <t>Gjennomsnittlig NIBL</t>
  </si>
  <si>
    <t>Driftsmargin, NOPAT</t>
  </si>
  <si>
    <t>*Omløpshastighet, NOA</t>
  </si>
  <si>
    <t>=Netto driftsrentabilitet (ROIC)</t>
  </si>
  <si>
    <t>NBC = Netto financial items, after tax / NIBL</t>
  </si>
  <si>
    <t>Ressursfordel</t>
  </si>
  <si>
    <t>Marginfordel</t>
  </si>
  <si>
    <t>Bruttofortjeneste</t>
  </si>
  <si>
    <t>Differanse</t>
  </si>
  <si>
    <t>Lønnskostnader</t>
  </si>
  <si>
    <t>Atea common-size resultat</t>
  </si>
  <si>
    <t>Andre driftskostnader inkl. skatt</t>
  </si>
  <si>
    <t>Omløpsfordel</t>
  </si>
  <si>
    <t>Netto driftsrentabilitet, Atea</t>
  </si>
  <si>
    <t>Netto driftsrentabilitet, bransje</t>
  </si>
  <si>
    <t>Dekomponere nettodriftsrentabilitet (til hjelp)</t>
  </si>
  <si>
    <t>Gjennomsnittlig NDME</t>
  </si>
  <si>
    <t xml:space="preserve">Marginfordel </t>
  </si>
  <si>
    <t>Dekomponering av ressursfordel</t>
  </si>
  <si>
    <t>Driftskostnader i % av DI, Atea</t>
  </si>
  <si>
    <t>Driftskostnader i % av DI, Bransje</t>
  </si>
  <si>
    <t>Lønnskostnader i % av DI, Atea</t>
  </si>
  <si>
    <t>Lønnskostnader i % av DI, Bransje</t>
  </si>
  <si>
    <t>Bruttofortjeneste, Atea</t>
  </si>
  <si>
    <t>Bruttofortjeneste, bransje</t>
  </si>
  <si>
    <t>Netto driftskapital omløpshastighet, Atea</t>
  </si>
  <si>
    <t>Netto driftskapital omløpshastighet, bransje</t>
  </si>
  <si>
    <t>NDK Omløpshastighet antall dager, Atea</t>
  </si>
  <si>
    <t>NDK Omløpshastighet antall dager, bransje</t>
  </si>
  <si>
    <t>Tidsvektet gjennomsnitt</t>
  </si>
  <si>
    <t>Vekter</t>
  </si>
  <si>
    <t>Bransjefordel - Drift</t>
  </si>
  <si>
    <t>-WACC</t>
  </si>
  <si>
    <t>Tidsvektet Gjennomsnitt</t>
  </si>
  <si>
    <t>=Bransjefordel</t>
  </si>
  <si>
    <t>Marginfordel (ulempe)</t>
  </si>
  <si>
    <t>Netto driftsmargin, Atea</t>
  </si>
  <si>
    <t>Netto driftsmargin, bransje</t>
  </si>
  <si>
    <t>Gearingsfordel:</t>
  </si>
  <si>
    <t>Gearingsfordel</t>
  </si>
  <si>
    <t>Strategisk fordel drift (NDR-WACC)</t>
  </si>
  <si>
    <t>Netto driftsrentabilitet (NDR)</t>
  </si>
  <si>
    <t>-Netto driftskrav (WACC)</t>
  </si>
  <si>
    <t>=Strategisk fordel drift (NDR-WACC)</t>
  </si>
  <si>
    <t>*=Gearingsfordel (SFD*NFGG)</t>
  </si>
  <si>
    <t>FGG</t>
  </si>
  <si>
    <t>FEG</t>
  </si>
  <si>
    <t>=Gearingsfordel (FEG)</t>
  </si>
  <si>
    <t xml:space="preserve">Gearingsfordel </t>
  </si>
  <si>
    <t>*Finansiell eiendelsgrad (FE/EK)</t>
  </si>
  <si>
    <t>*Finansiell gjeldsgrad (FG/EK)</t>
  </si>
  <si>
    <t>Gearingsfordel finansiell gjeld</t>
  </si>
  <si>
    <t>Dekomponering av gearingsfordelen</t>
  </si>
  <si>
    <t>*Netto finansiell gjeldsgrad (NFG/EK)</t>
  </si>
  <si>
    <t>Gearingsfordel finansielle eiendeler</t>
  </si>
  <si>
    <t>=Gearingsfordel (FGG)</t>
  </si>
  <si>
    <t>+Omløpsfordel</t>
  </si>
  <si>
    <t>+Bransjefordel</t>
  </si>
  <si>
    <t>=Strategisk fordel drift</t>
  </si>
  <si>
    <t>Oppsummering Strategisk driftsfordel</t>
  </si>
  <si>
    <t>=Strategisk fordel drift, før gearing</t>
  </si>
  <si>
    <t>=Ressursfordel</t>
  </si>
  <si>
    <t>Marginfordel (vektet)</t>
  </si>
  <si>
    <t>+Omløpsfordel (vektet)</t>
  </si>
  <si>
    <t>*Atea marginfordel</t>
  </si>
  <si>
    <t>=Vektet marginfordel</t>
  </si>
  <si>
    <t>Atea netto driftsmargin</t>
  </si>
  <si>
    <t>*Atea omløpsfordel</t>
  </si>
  <si>
    <t>=Vektet omløpsfordel</t>
  </si>
  <si>
    <t>=Ressursfordel (MF+OMF)</t>
  </si>
  <si>
    <t>Finansieringsfordel</t>
  </si>
  <si>
    <t>Netto finansiell rentabilitet</t>
  </si>
  <si>
    <t>Netto finansiell gjeldsgrad</t>
  </si>
  <si>
    <t>Netto finansiellt gjeldskrav</t>
  </si>
  <si>
    <t>Egenkapitalkostnad:</t>
  </si>
  <si>
    <t>Risikofri rente</t>
  </si>
  <si>
    <t>Markedets risikopremie</t>
  </si>
  <si>
    <t>Beta</t>
  </si>
  <si>
    <t>Atea risikopremie</t>
  </si>
  <si>
    <t>Risikofri rente (etter skatt)</t>
  </si>
  <si>
    <t>Atea egenkapitalkostnad</t>
  </si>
  <si>
    <t>Gjeldskostnad:</t>
  </si>
  <si>
    <t>Risikofri rente (før skatt)</t>
  </si>
  <si>
    <t>Kredittrisikopremie (etter skatt)</t>
  </si>
  <si>
    <t>Atea enterprise value</t>
  </si>
  <si>
    <t>Finansiell gjeld</t>
  </si>
  <si>
    <t>=Netto rentebærende gjeld</t>
  </si>
  <si>
    <t>Antall aksjer</t>
  </si>
  <si>
    <t>Kurs 31.12.2023</t>
  </si>
  <si>
    <t>Markedsverdi EK</t>
  </si>
  <si>
    <t>Enterprise value</t>
  </si>
  <si>
    <t>EK andel</t>
  </si>
  <si>
    <t>Gjeldsandel</t>
  </si>
  <si>
    <t>Totalkapitalkostnad</t>
  </si>
  <si>
    <t>Gjeldskostnad (etter skatt)</t>
  </si>
  <si>
    <t>Finansieringsfordelen</t>
  </si>
  <si>
    <t>=SFD</t>
  </si>
  <si>
    <t>+Gearingsfordel</t>
  </si>
  <si>
    <t>+Finansieringsfordel</t>
  </si>
  <si>
    <t>=SF</t>
  </si>
  <si>
    <t>Steg 1) Vi må regne ut Ateas unlevered egenkapitalbeta</t>
  </si>
  <si>
    <t>Egenkapitalbeta</t>
  </si>
  <si>
    <r>
      <t>Egenkapitalbeta (B</t>
    </r>
    <r>
      <rPr>
        <sz val="8"/>
        <color theme="1"/>
        <rFont val="Times New Roman"/>
        <family val="1"/>
      </rPr>
      <t>e</t>
    </r>
    <r>
      <rPr>
        <sz val="11"/>
        <color theme="1"/>
        <rFont val="Times New Roman"/>
        <family val="1"/>
      </rPr>
      <t>)</t>
    </r>
  </si>
  <si>
    <r>
      <t>Unlevered beta (B</t>
    </r>
    <r>
      <rPr>
        <b/>
        <sz val="8"/>
        <color theme="1"/>
        <rFont val="Times New Roman"/>
        <family val="1"/>
      </rPr>
      <t>a</t>
    </r>
    <r>
      <rPr>
        <b/>
        <sz val="11"/>
        <color theme="1"/>
        <rFont val="Times New Roman"/>
        <family val="1"/>
      </rPr>
      <t>)</t>
    </r>
  </si>
  <si>
    <t>Steg 2) Finne historiske data for NIBL og MVE</t>
  </si>
  <si>
    <t>Netto finansiell gjeld (NIBL)</t>
  </si>
  <si>
    <t>Aksjekurs</t>
  </si>
  <si>
    <t>Markedsverdi EK (MVE)</t>
  </si>
  <si>
    <t>(alle tall i MNOK)</t>
  </si>
  <si>
    <t>Antall utestående aksjer</t>
  </si>
  <si>
    <t>3) Estimere historisk avkastningskrav</t>
  </si>
  <si>
    <t>Ateas risikopremie</t>
  </si>
  <si>
    <t>Gjeldskostnad</t>
  </si>
  <si>
    <t>Egenkapitalandel</t>
  </si>
  <si>
    <t>Risikopremie</t>
  </si>
  <si>
    <t>Atea unlevered beta</t>
  </si>
  <si>
    <t>Markedsverdi av EK (MVE)</t>
  </si>
  <si>
    <t>=Gearingsfordel (SFD*NFGG)</t>
  </si>
  <si>
    <t>Netto finansiell gjeldskrav</t>
  </si>
  <si>
    <t>Finansielt eiendelskrav</t>
  </si>
  <si>
    <t>Finansielt gjeldskrav</t>
  </si>
  <si>
    <t>Finansielt eiendelsgrad</t>
  </si>
  <si>
    <t>Finansielt eiendelsrentabilitet</t>
  </si>
  <si>
    <t>Finansielt gjeldssrentabilitet</t>
  </si>
  <si>
    <t>Finansielt gjeldsgrad</t>
  </si>
  <si>
    <t>Finansieringsfordel - Finansielle eiendeler</t>
  </si>
  <si>
    <t>Finansieringsfordel - Finansiell gjeld</t>
  </si>
  <si>
    <t>Atea avkastningskrav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</si>
</sst>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\ %"/>
    <numFmt numFmtId="166" formatCode="0.00000"/>
    <numFmt numFmtId="167" formatCode="0.0000"/>
    <numFmt numFmtId="168" formatCode="0.000"/>
    <numFmt numFmtId="169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rgb="FFFFFFFF"/>
      <name val="Times New Roman"/>
      <family val="1"/>
    </font>
    <font>
      <b/>
      <sz val="14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FFFF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8E8E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rgb="FF4EA72E"/>
        <bgColor rgb="FF000000"/>
      </patternFill>
    </fill>
    <fill>
      <patternFill patternType="solid">
        <fgColor rgb="FF4EA72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7" xfId="0" applyFont="1" applyFill="1" applyBorder="1"/>
    <xf numFmtId="3" fontId="3" fillId="2" borderId="8" xfId="1" applyNumberFormat="1" applyFont="1" applyFill="1" applyBorder="1"/>
    <xf numFmtId="3" fontId="3" fillId="2" borderId="0" xfId="1" applyNumberFormat="1" applyFont="1" applyFill="1" applyBorder="1"/>
    <xf numFmtId="0" fontId="4" fillId="2" borderId="7" xfId="0" applyFont="1" applyFill="1" applyBorder="1"/>
    <xf numFmtId="0" fontId="3" fillId="0" borderId="7" xfId="0" applyFont="1" applyBorder="1"/>
    <xf numFmtId="3" fontId="3" fillId="0" borderId="8" xfId="1" applyNumberFormat="1" applyFont="1" applyFill="1" applyBorder="1"/>
    <xf numFmtId="3" fontId="3" fillId="0" borderId="0" xfId="1" applyNumberFormat="1" applyFont="1" applyFill="1" applyBorder="1"/>
    <xf numFmtId="0" fontId="6" fillId="0" borderId="1" xfId="0" applyFont="1" applyBorder="1"/>
    <xf numFmtId="3" fontId="6" fillId="0" borderId="2" xfId="1" applyNumberFormat="1" applyFont="1" applyFill="1" applyBorder="1"/>
    <xf numFmtId="3" fontId="6" fillId="0" borderId="3" xfId="1" applyNumberFormat="1" applyFont="1" applyFill="1" applyBorder="1"/>
    <xf numFmtId="0" fontId="6" fillId="3" borderId="4" xfId="0" applyFont="1" applyFill="1" applyBorder="1"/>
    <xf numFmtId="3" fontId="6" fillId="3" borderId="5" xfId="1" applyNumberFormat="1" applyFont="1" applyFill="1" applyBorder="1"/>
    <xf numFmtId="3" fontId="6" fillId="3" borderId="6" xfId="1" applyNumberFormat="1" applyFont="1" applyFill="1" applyBorder="1"/>
    <xf numFmtId="0" fontId="5" fillId="0" borderId="7" xfId="0" applyFont="1" applyBorder="1"/>
    <xf numFmtId="3" fontId="5" fillId="0" borderId="8" xfId="1" applyNumberFormat="1" applyFont="1" applyFill="1" applyBorder="1"/>
    <xf numFmtId="3" fontId="5" fillId="0" borderId="0" xfId="1" applyNumberFormat="1" applyFont="1" applyFill="1" applyBorder="1"/>
    <xf numFmtId="0" fontId="6" fillId="3" borderId="7" xfId="0" applyFont="1" applyFill="1" applyBorder="1"/>
    <xf numFmtId="3" fontId="6" fillId="3" borderId="8" xfId="1" applyNumberFormat="1" applyFont="1" applyFill="1" applyBorder="1"/>
    <xf numFmtId="3" fontId="6" fillId="3" borderId="0" xfId="1" applyNumberFormat="1" applyFont="1" applyFill="1" applyBorder="1"/>
    <xf numFmtId="0" fontId="6" fillId="0" borderId="4" xfId="0" applyFont="1" applyBorder="1"/>
    <xf numFmtId="3" fontId="6" fillId="0" borderId="5" xfId="1" applyNumberFormat="1" applyFont="1" applyFill="1" applyBorder="1"/>
    <xf numFmtId="3" fontId="6" fillId="0" borderId="6" xfId="1" applyNumberFormat="1" applyFont="1" applyFill="1" applyBorder="1"/>
    <xf numFmtId="0" fontId="5" fillId="3" borderId="7" xfId="0" applyFont="1" applyFill="1" applyBorder="1"/>
    <xf numFmtId="3" fontId="5" fillId="3" borderId="8" xfId="1" applyNumberFormat="1" applyFont="1" applyFill="1" applyBorder="1"/>
    <xf numFmtId="3" fontId="5" fillId="3" borderId="0" xfId="1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0" fontId="5" fillId="3" borderId="9" xfId="0" applyFont="1" applyFill="1" applyBorder="1"/>
    <xf numFmtId="3" fontId="5" fillId="3" borderId="10" xfId="1" applyNumberFormat="1" applyFont="1" applyFill="1" applyBorder="1"/>
    <xf numFmtId="3" fontId="5" fillId="3" borderId="11" xfId="1" applyNumberFormat="1" applyFont="1" applyFill="1" applyBorder="1"/>
    <xf numFmtId="0" fontId="6" fillId="0" borderId="7" xfId="0" applyFont="1" applyBorder="1"/>
    <xf numFmtId="3" fontId="6" fillId="0" borderId="8" xfId="1" applyNumberFormat="1" applyFont="1" applyFill="1" applyBorder="1"/>
    <xf numFmtId="3" fontId="6" fillId="0" borderId="0" xfId="1" applyNumberFormat="1" applyFont="1" applyFill="1" applyBorder="1"/>
    <xf numFmtId="0" fontId="6" fillId="4" borderId="4" xfId="0" applyFont="1" applyFill="1" applyBorder="1"/>
    <xf numFmtId="3" fontId="6" fillId="4" borderId="5" xfId="1" applyNumberFormat="1" applyFont="1" applyFill="1" applyBorder="1"/>
    <xf numFmtId="3" fontId="6" fillId="4" borderId="6" xfId="1" applyNumberFormat="1" applyFont="1" applyFill="1" applyBorder="1"/>
    <xf numFmtId="0" fontId="5" fillId="4" borderId="4" xfId="0" applyFont="1" applyFill="1" applyBorder="1"/>
    <xf numFmtId="3" fontId="5" fillId="4" borderId="5" xfId="1" applyNumberFormat="1" applyFont="1" applyFill="1" applyBorder="1"/>
    <xf numFmtId="3" fontId="5" fillId="4" borderId="6" xfId="1" applyNumberFormat="1" applyFont="1" applyFill="1" applyBorder="1"/>
    <xf numFmtId="1" fontId="6" fillId="3" borderId="8" xfId="0" applyNumberFormat="1" applyFont="1" applyFill="1" applyBorder="1"/>
    <xf numFmtId="1" fontId="6" fillId="3" borderId="0" xfId="0" applyNumberFormat="1" applyFont="1" applyFill="1"/>
    <xf numFmtId="0" fontId="6" fillId="4" borderId="7" xfId="0" applyFont="1" applyFill="1" applyBorder="1"/>
    <xf numFmtId="0" fontId="6" fillId="4" borderId="8" xfId="0" applyFont="1" applyFill="1" applyBorder="1"/>
    <xf numFmtId="0" fontId="6" fillId="4" borderId="0" xfId="0" applyFont="1" applyFill="1"/>
    <xf numFmtId="3" fontId="6" fillId="4" borderId="0" xfId="1" applyNumberFormat="1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3" fontId="5" fillId="4" borderId="5" xfId="0" applyNumberFormat="1" applyFont="1" applyFill="1" applyBorder="1"/>
    <xf numFmtId="3" fontId="5" fillId="4" borderId="6" xfId="0" applyNumberFormat="1" applyFont="1" applyFill="1" applyBorder="1"/>
    <xf numFmtId="0" fontId="4" fillId="0" borderId="2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2" xfId="0" applyFont="1" applyBorder="1"/>
    <xf numFmtId="0" fontId="3" fillId="2" borderId="8" xfId="0" applyFont="1" applyFill="1" applyBorder="1"/>
    <xf numFmtId="3" fontId="3" fillId="2" borderId="13" xfId="1" applyNumberFormat="1" applyFont="1" applyFill="1" applyBorder="1"/>
    <xf numFmtId="0" fontId="3" fillId="0" borderId="8" xfId="0" applyFont="1" applyBorder="1"/>
    <xf numFmtId="3" fontId="3" fillId="0" borderId="13" xfId="1" applyNumberFormat="1" applyFont="1" applyFill="1" applyBorder="1"/>
    <xf numFmtId="0" fontId="4" fillId="0" borderId="10" xfId="0" applyFont="1" applyBorder="1"/>
    <xf numFmtId="3" fontId="4" fillId="0" borderId="11" xfId="0" applyNumberFormat="1" applyFont="1" applyBorder="1"/>
    <xf numFmtId="3" fontId="4" fillId="0" borderId="10" xfId="0" applyNumberFormat="1" applyFont="1" applyBorder="1"/>
    <xf numFmtId="3" fontId="4" fillId="0" borderId="14" xfId="0" applyNumberFormat="1" applyFont="1" applyBorder="1"/>
    <xf numFmtId="0" fontId="4" fillId="2" borderId="8" xfId="0" applyFont="1" applyFill="1" applyBorder="1"/>
    <xf numFmtId="0" fontId="3" fillId="2" borderId="0" xfId="0" applyFont="1" applyFill="1"/>
    <xf numFmtId="0" fontId="3" fillId="2" borderId="13" xfId="0" applyFont="1" applyFill="1" applyBorder="1"/>
    <xf numFmtId="0" fontId="4" fillId="2" borderId="10" xfId="0" applyFont="1" applyFill="1" applyBorder="1"/>
    <xf numFmtId="3" fontId="4" fillId="2" borderId="11" xfId="0" applyNumberFormat="1" applyFont="1" applyFill="1" applyBorder="1"/>
    <xf numFmtId="3" fontId="4" fillId="2" borderId="10" xfId="0" applyNumberFormat="1" applyFont="1" applyFill="1" applyBorder="1"/>
    <xf numFmtId="3" fontId="4" fillId="2" borderId="14" xfId="0" applyNumberFormat="1" applyFont="1" applyFill="1" applyBorder="1"/>
    <xf numFmtId="0" fontId="4" fillId="0" borderId="15" xfId="0" applyFont="1" applyBorder="1"/>
    <xf numFmtId="3" fontId="4" fillId="0" borderId="16" xfId="0" applyNumberFormat="1" applyFont="1" applyBorder="1"/>
    <xf numFmtId="3" fontId="4" fillId="0" borderId="15" xfId="0" applyNumberFormat="1" applyFont="1" applyBorder="1"/>
    <xf numFmtId="3" fontId="4" fillId="0" borderId="17" xfId="0" applyNumberFormat="1" applyFont="1" applyBorder="1"/>
    <xf numFmtId="0" fontId="4" fillId="0" borderId="8" xfId="0" applyFont="1" applyBorder="1"/>
    <xf numFmtId="0" fontId="3" fillId="0" borderId="13" xfId="0" applyFont="1" applyBorder="1"/>
    <xf numFmtId="3" fontId="3" fillId="2" borderId="8" xfId="1" applyNumberFormat="1" applyFont="1" applyFill="1" applyBorder="1" applyAlignment="1">
      <alignment horizontal="right"/>
    </xf>
    <xf numFmtId="0" fontId="4" fillId="2" borderId="15" xfId="0" applyFont="1" applyFill="1" applyBorder="1"/>
    <xf numFmtId="3" fontId="4" fillId="2" borderId="16" xfId="0" applyNumberFormat="1" applyFont="1" applyFill="1" applyBorder="1"/>
    <xf numFmtId="3" fontId="4" fillId="2" borderId="15" xfId="0" applyNumberFormat="1" applyFont="1" applyFill="1" applyBorder="1"/>
    <xf numFmtId="0" fontId="5" fillId="0" borderId="2" xfId="0" applyFont="1" applyBorder="1"/>
    <xf numFmtId="0" fontId="6" fillId="0" borderId="2" xfId="0" applyFont="1" applyBorder="1"/>
    <xf numFmtId="0" fontId="6" fillId="0" borderId="8" xfId="0" applyFont="1" applyBorder="1"/>
    <xf numFmtId="0" fontId="5" fillId="0" borderId="10" xfId="0" applyFont="1" applyBorder="1"/>
    <xf numFmtId="10" fontId="6" fillId="0" borderId="13" xfId="2" applyNumberFormat="1" applyFont="1" applyFill="1" applyBorder="1"/>
    <xf numFmtId="0" fontId="6" fillId="5" borderId="8" xfId="0" applyFont="1" applyFill="1" applyBorder="1"/>
    <xf numFmtId="0" fontId="5" fillId="5" borderId="10" xfId="0" applyFont="1" applyFill="1" applyBorder="1"/>
    <xf numFmtId="164" fontId="3" fillId="2" borderId="0" xfId="1" applyNumberFormat="1" applyFont="1" applyFill="1" applyBorder="1"/>
    <xf numFmtId="164" fontId="3" fillId="2" borderId="8" xfId="1" applyNumberFormat="1" applyFont="1" applyFill="1" applyBorder="1"/>
    <xf numFmtId="164" fontId="3" fillId="0" borderId="6" xfId="1" applyNumberFormat="1" applyFont="1" applyFill="1" applyBorder="1"/>
    <xf numFmtId="164" fontId="3" fillId="0" borderId="5" xfId="1" applyNumberFormat="1" applyFont="1" applyFill="1" applyBorder="1"/>
    <xf numFmtId="164" fontId="4" fillId="2" borderId="11" xfId="0" applyNumberFormat="1" applyFont="1" applyFill="1" applyBorder="1"/>
    <xf numFmtId="164" fontId="4" fillId="2" borderId="10" xfId="0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164" fontId="4" fillId="0" borderId="6" xfId="0" applyNumberFormat="1" applyFont="1" applyBorder="1"/>
    <xf numFmtId="164" fontId="4" fillId="0" borderId="5" xfId="0" applyNumberFormat="1" applyFont="1" applyBorder="1"/>
    <xf numFmtId="0" fontId="9" fillId="7" borderId="2" xfId="0" applyFont="1" applyFill="1" applyBorder="1"/>
    <xf numFmtId="0" fontId="9" fillId="7" borderId="3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164" fontId="6" fillId="0" borderId="3" xfId="1" applyNumberFormat="1" applyFont="1" applyFill="1" applyBorder="1"/>
    <xf numFmtId="164" fontId="6" fillId="0" borderId="2" xfId="1" applyNumberFormat="1" applyFont="1" applyFill="1" applyBorder="1"/>
    <xf numFmtId="0" fontId="6" fillId="5" borderId="5" xfId="0" applyFont="1" applyFill="1" applyBorder="1"/>
    <xf numFmtId="164" fontId="6" fillId="5" borderId="6" xfId="1" applyNumberFormat="1" applyFont="1" applyFill="1" applyBorder="1"/>
    <xf numFmtId="164" fontId="6" fillId="5" borderId="5" xfId="1" applyNumberFormat="1" applyFont="1" applyFill="1" applyBorder="1"/>
    <xf numFmtId="164" fontId="5" fillId="0" borderId="0" xfId="1" applyNumberFormat="1" applyFont="1" applyFill="1" applyBorder="1"/>
    <xf numFmtId="164" fontId="5" fillId="0" borderId="8" xfId="1" applyNumberFormat="1" applyFont="1" applyFill="1" applyBorder="1"/>
    <xf numFmtId="164" fontId="6" fillId="5" borderId="0" xfId="1" applyNumberFormat="1" applyFont="1" applyFill="1" applyBorder="1"/>
    <xf numFmtId="164" fontId="6" fillId="5" borderId="8" xfId="1" applyNumberFormat="1" applyFont="1" applyFill="1" applyBorder="1"/>
    <xf numFmtId="0" fontId="6" fillId="0" borderId="5" xfId="0" applyFont="1" applyBorder="1"/>
    <xf numFmtId="164" fontId="6" fillId="0" borderId="6" xfId="1" applyNumberFormat="1" applyFont="1" applyFill="1" applyBorder="1"/>
    <xf numFmtId="164" fontId="6" fillId="0" borderId="5" xfId="1" applyNumberFormat="1" applyFont="1" applyFill="1" applyBorder="1"/>
    <xf numFmtId="0" fontId="5" fillId="5" borderId="2" xfId="0" applyFont="1" applyFill="1" applyBorder="1"/>
    <xf numFmtId="164" fontId="5" fillId="5" borderId="0" xfId="1" applyNumberFormat="1" applyFont="1" applyFill="1" applyBorder="1"/>
    <xf numFmtId="164" fontId="5" fillId="5" borderId="8" xfId="1" applyNumberFormat="1" applyFont="1" applyFill="1" applyBorder="1"/>
    <xf numFmtId="0" fontId="5" fillId="5" borderId="8" xfId="0" applyFont="1" applyFill="1" applyBorder="1"/>
    <xf numFmtId="164" fontId="5" fillId="5" borderId="11" xfId="0" applyNumberFormat="1" applyFont="1" applyFill="1" applyBorder="1"/>
    <xf numFmtId="164" fontId="5" fillId="5" borderId="10" xfId="0" applyNumberFormat="1" applyFont="1" applyFill="1" applyBorder="1"/>
    <xf numFmtId="4" fontId="6" fillId="0" borderId="8" xfId="0" applyNumberFormat="1" applyFont="1" applyBorder="1"/>
    <xf numFmtId="164" fontId="6" fillId="0" borderId="0" xfId="1" applyNumberFormat="1" applyFont="1" applyFill="1" applyBorder="1"/>
    <xf numFmtId="164" fontId="6" fillId="0" borderId="8" xfId="1" applyNumberFormat="1" applyFont="1" applyFill="1" applyBorder="1"/>
    <xf numFmtId="2" fontId="6" fillId="5" borderId="6" xfId="0" applyNumberFormat="1" applyFont="1" applyFill="1" applyBorder="1"/>
    <xf numFmtId="2" fontId="6" fillId="5" borderId="5" xfId="0" applyNumberFormat="1" applyFont="1" applyFill="1" applyBorder="1"/>
    <xf numFmtId="164" fontId="5" fillId="0" borderId="6" xfId="0" applyNumberFormat="1" applyFont="1" applyBorder="1"/>
    <xf numFmtId="164" fontId="5" fillId="0" borderId="5" xfId="0" applyNumberFormat="1" applyFont="1" applyBorder="1"/>
    <xf numFmtId="0" fontId="7" fillId="6" borderId="1" xfId="0" applyFont="1" applyFill="1" applyBorder="1"/>
    <xf numFmtId="164" fontId="8" fillId="6" borderId="2" xfId="1" applyNumberFormat="1" applyFont="1" applyFill="1" applyBorder="1"/>
    <xf numFmtId="164" fontId="8" fillId="6" borderId="3" xfId="1" applyNumberFormat="1" applyFont="1" applyFill="1" applyBorder="1"/>
    <xf numFmtId="164" fontId="3" fillId="0" borderId="8" xfId="1" applyNumberFormat="1" applyFont="1" applyBorder="1"/>
    <xf numFmtId="164" fontId="3" fillId="0" borderId="0" xfId="1" applyNumberFormat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0" fontId="7" fillId="6" borderId="7" xfId="0" quotePrefix="1" applyFont="1" applyFill="1" applyBorder="1"/>
    <xf numFmtId="0" fontId="8" fillId="6" borderId="8" xfId="0" applyFont="1" applyFill="1" applyBorder="1"/>
    <xf numFmtId="0" fontId="8" fillId="6" borderId="0" xfId="0" applyFont="1" applyFill="1"/>
    <xf numFmtId="0" fontId="7" fillId="6" borderId="7" xfId="0" applyFont="1" applyFill="1" applyBorder="1"/>
    <xf numFmtId="164" fontId="4" fillId="2" borderId="5" xfId="0" applyNumberFormat="1" applyFont="1" applyFill="1" applyBorder="1"/>
    <xf numFmtId="164" fontId="4" fillId="2" borderId="6" xfId="0" applyNumberFormat="1" applyFont="1" applyFill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0" fontId="4" fillId="0" borderId="9" xfId="0" applyFont="1" applyBorder="1"/>
    <xf numFmtId="164" fontId="4" fillId="2" borderId="8" xfId="0" applyNumberFormat="1" applyFont="1" applyFill="1" applyBorder="1"/>
    <xf numFmtId="164" fontId="4" fillId="2" borderId="0" xfId="0" applyNumberFormat="1" applyFont="1" applyFill="1"/>
    <xf numFmtId="164" fontId="0" fillId="0" borderId="0" xfId="0" applyNumberFormat="1"/>
    <xf numFmtId="0" fontId="7" fillId="6" borderId="4" xfId="0" applyFont="1" applyFill="1" applyBorder="1"/>
    <xf numFmtId="0" fontId="4" fillId="2" borderId="9" xfId="0" applyFont="1" applyFill="1" applyBorder="1"/>
    <xf numFmtId="0" fontId="4" fillId="0" borderId="9" xfId="0" quotePrefix="1" applyFont="1" applyBorder="1"/>
    <xf numFmtId="0" fontId="9" fillId="7" borderId="12" xfId="0" applyFont="1" applyFill="1" applyBorder="1" applyAlignment="1">
      <alignment horizontal="center"/>
    </xf>
    <xf numFmtId="164" fontId="6" fillId="0" borderId="12" xfId="1" applyNumberFormat="1" applyFont="1" applyFill="1" applyBorder="1"/>
    <xf numFmtId="164" fontId="6" fillId="5" borderId="18" xfId="1" applyNumberFormat="1" applyFont="1" applyFill="1" applyBorder="1"/>
    <xf numFmtId="164" fontId="5" fillId="0" borderId="13" xfId="1" applyNumberFormat="1" applyFont="1" applyFill="1" applyBorder="1"/>
    <xf numFmtId="164" fontId="6" fillId="5" borderId="13" xfId="1" applyNumberFormat="1" applyFont="1" applyFill="1" applyBorder="1"/>
    <xf numFmtId="164" fontId="6" fillId="0" borderId="18" xfId="1" applyNumberFormat="1" applyFont="1" applyFill="1" applyBorder="1"/>
    <xf numFmtId="164" fontId="5" fillId="5" borderId="13" xfId="1" applyNumberFormat="1" applyFont="1" applyFill="1" applyBorder="1"/>
    <xf numFmtId="164" fontId="5" fillId="5" borderId="14" xfId="0" applyNumberFormat="1" applyFont="1" applyFill="1" applyBorder="1"/>
    <xf numFmtId="164" fontId="6" fillId="0" borderId="13" xfId="1" applyNumberFormat="1" applyFont="1" applyFill="1" applyBorder="1"/>
    <xf numFmtId="2" fontId="6" fillId="5" borderId="18" xfId="0" applyNumberFormat="1" applyFont="1" applyFill="1" applyBorder="1"/>
    <xf numFmtId="164" fontId="5" fillId="0" borderId="18" xfId="0" applyNumberFormat="1" applyFont="1" applyBorder="1"/>
    <xf numFmtId="10" fontId="3" fillId="0" borderId="0" xfId="2" applyNumberFormat="1" applyFont="1"/>
    <xf numFmtId="0" fontId="3" fillId="0" borderId="1" xfId="0" applyFont="1" applyBorder="1"/>
    <xf numFmtId="10" fontId="3" fillId="0" borderId="3" xfId="2" applyNumberFormat="1" applyFont="1" applyBorder="1"/>
    <xf numFmtId="10" fontId="3" fillId="0" borderId="2" xfId="2" applyNumberFormat="1" applyFont="1" applyBorder="1"/>
    <xf numFmtId="10" fontId="4" fillId="0" borderId="10" xfId="0" applyNumberFormat="1" applyFont="1" applyBorder="1"/>
    <xf numFmtId="3" fontId="5" fillId="0" borderId="6" xfId="0" applyNumberFormat="1" applyFont="1" applyBorder="1"/>
    <xf numFmtId="0" fontId="4" fillId="0" borderId="0" xfId="0" applyFont="1"/>
    <xf numFmtId="0" fontId="3" fillId="2" borderId="7" xfId="0" quotePrefix="1" applyFont="1" applyFill="1" applyBorder="1"/>
    <xf numFmtId="10" fontId="3" fillId="2" borderId="8" xfId="0" applyNumberFormat="1" applyFont="1" applyFill="1" applyBorder="1"/>
    <xf numFmtId="0" fontId="3" fillId="8" borderId="0" xfId="0" applyFont="1" applyFill="1"/>
    <xf numFmtId="166" fontId="3" fillId="0" borderId="0" xfId="2" applyNumberFormat="1" applyFont="1"/>
    <xf numFmtId="0" fontId="3" fillId="0" borderId="7" xfId="0" quotePrefix="1" applyFont="1" applyBorder="1"/>
    <xf numFmtId="4" fontId="3" fillId="0" borderId="0" xfId="1" applyNumberFormat="1" applyFont="1" applyFill="1" applyBorder="1"/>
    <xf numFmtId="4" fontId="3" fillId="0" borderId="13" xfId="1" applyNumberFormat="1" applyFont="1" applyFill="1" applyBorder="1"/>
    <xf numFmtId="167" fontId="3" fillId="0" borderId="0" xfId="0" applyNumberFormat="1" applyFont="1"/>
    <xf numFmtId="167" fontId="3" fillId="0" borderId="13" xfId="0" applyNumberFormat="1" applyFont="1" applyBorder="1"/>
    <xf numFmtId="10" fontId="3" fillId="0" borderId="0" xfId="2" applyNumberFormat="1" applyFont="1" applyBorder="1"/>
    <xf numFmtId="10" fontId="3" fillId="0" borderId="13" xfId="2" applyNumberFormat="1" applyFont="1" applyBorder="1"/>
    <xf numFmtId="10" fontId="3" fillId="0" borderId="3" xfId="2" applyNumberFormat="1" applyFont="1" applyFill="1" applyBorder="1"/>
    <xf numFmtId="10" fontId="3" fillId="0" borderId="12" xfId="2" applyNumberFormat="1" applyFont="1" applyFill="1" applyBorder="1"/>
    <xf numFmtId="0" fontId="4" fillId="0" borderId="4" xfId="0" quotePrefix="1" applyFont="1" applyBorder="1"/>
    <xf numFmtId="165" fontId="4" fillId="0" borderId="6" xfId="2" applyNumberFormat="1" applyFont="1" applyFill="1" applyBorder="1"/>
    <xf numFmtId="165" fontId="4" fillId="0" borderId="18" xfId="2" applyNumberFormat="1" applyFont="1" applyFill="1" applyBorder="1"/>
    <xf numFmtId="3" fontId="3" fillId="0" borderId="0" xfId="0" applyNumberFormat="1" applyFont="1"/>
    <xf numFmtId="10" fontId="3" fillId="0" borderId="2" xfId="2" applyNumberFormat="1" applyFont="1" applyFill="1" applyBorder="1"/>
    <xf numFmtId="165" fontId="4" fillId="0" borderId="5" xfId="2" applyNumberFormat="1" applyFont="1" applyFill="1" applyBorder="1"/>
    <xf numFmtId="4" fontId="3" fillId="0" borderId="8" xfId="1" applyNumberFormat="1" applyFont="1" applyFill="1" applyBorder="1"/>
    <xf numFmtId="167" fontId="3" fillId="0" borderId="8" xfId="0" applyNumberFormat="1" applyFont="1" applyBorder="1"/>
    <xf numFmtId="10" fontId="3" fillId="0" borderId="8" xfId="2" applyNumberFormat="1" applyFont="1" applyBorder="1"/>
    <xf numFmtId="10" fontId="4" fillId="0" borderId="5" xfId="2" applyNumberFormat="1" applyFont="1" applyBorder="1"/>
    <xf numFmtId="168" fontId="3" fillId="2" borderId="8" xfId="0" applyNumberFormat="1" applyFont="1" applyFill="1" applyBorder="1"/>
    <xf numFmtId="168" fontId="3" fillId="2" borderId="0" xfId="0" applyNumberFormat="1" applyFont="1" applyFill="1"/>
    <xf numFmtId="168" fontId="3" fillId="2" borderId="13" xfId="0" applyNumberFormat="1" applyFont="1" applyFill="1" applyBorder="1"/>
    <xf numFmtId="0" fontId="4" fillId="2" borderId="9" xfId="0" quotePrefix="1" applyFont="1" applyFill="1" applyBorder="1"/>
    <xf numFmtId="165" fontId="4" fillId="2" borderId="10" xfId="2" applyNumberFormat="1" applyFont="1" applyFill="1" applyBorder="1"/>
    <xf numFmtId="165" fontId="4" fillId="2" borderId="11" xfId="2" applyNumberFormat="1" applyFont="1" applyFill="1" applyBorder="1"/>
    <xf numFmtId="165" fontId="4" fillId="2" borderId="14" xfId="2" applyNumberFormat="1" applyFont="1" applyFill="1" applyBorder="1"/>
    <xf numFmtId="4" fontId="3" fillId="2" borderId="8" xfId="1" applyNumberFormat="1" applyFont="1" applyFill="1" applyBorder="1"/>
    <xf numFmtId="4" fontId="3" fillId="2" borderId="0" xfId="1" applyNumberFormat="1" applyFont="1" applyFill="1" applyBorder="1"/>
    <xf numFmtId="4" fontId="3" fillId="2" borderId="13" xfId="1" applyNumberFormat="1" applyFont="1" applyFill="1" applyBorder="1"/>
    <xf numFmtId="10" fontId="3" fillId="2" borderId="8" xfId="2" applyNumberFormat="1" applyFont="1" applyFill="1" applyBorder="1"/>
    <xf numFmtId="10" fontId="3" fillId="2" borderId="0" xfId="2" applyNumberFormat="1" applyFont="1" applyFill="1" applyBorder="1"/>
    <xf numFmtId="10" fontId="3" fillId="2" borderId="13" xfId="2" applyNumberFormat="1" applyFont="1" applyFill="1" applyBorder="1"/>
    <xf numFmtId="10" fontId="4" fillId="2" borderId="10" xfId="2" applyNumberFormat="1" applyFont="1" applyFill="1" applyBorder="1"/>
    <xf numFmtId="10" fontId="4" fillId="2" borderId="11" xfId="2" applyNumberFormat="1" applyFont="1" applyFill="1" applyBorder="1"/>
    <xf numFmtId="10" fontId="4" fillId="2" borderId="14" xfId="2" applyNumberFormat="1" applyFont="1" applyFill="1" applyBorder="1"/>
    <xf numFmtId="10" fontId="3" fillId="0" borderId="0" xfId="0" applyNumberFormat="1" applyFont="1"/>
    <xf numFmtId="165" fontId="3" fillId="2" borderId="8" xfId="2" applyNumberFormat="1" applyFont="1" applyFill="1" applyBorder="1"/>
    <xf numFmtId="10" fontId="3" fillId="0" borderId="8" xfId="0" applyNumberFormat="1" applyFont="1" applyBorder="1"/>
    <xf numFmtId="10" fontId="6" fillId="3" borderId="8" xfId="2" applyNumberFormat="1" applyFont="1" applyFill="1" applyBorder="1"/>
    <xf numFmtId="10" fontId="6" fillId="3" borderId="5" xfId="2" applyNumberFormat="1" applyFont="1" applyFill="1" applyBorder="1"/>
    <xf numFmtId="10" fontId="5" fillId="3" borderId="10" xfId="2" applyNumberFormat="1" applyFont="1" applyFill="1" applyBorder="1"/>
    <xf numFmtId="10" fontId="0" fillId="0" borderId="0" xfId="2" applyNumberFormat="1" applyFont="1"/>
    <xf numFmtId="10" fontId="6" fillId="0" borderId="2" xfId="2" applyNumberFormat="1" applyFont="1" applyFill="1" applyBorder="1"/>
    <xf numFmtId="10" fontId="6" fillId="0" borderId="3" xfId="2" applyNumberFormat="1" applyFont="1" applyFill="1" applyBorder="1"/>
    <xf numFmtId="10" fontId="6" fillId="3" borderId="6" xfId="2" applyNumberFormat="1" applyFont="1" applyFill="1" applyBorder="1"/>
    <xf numFmtId="10" fontId="5" fillId="0" borderId="8" xfId="2" applyNumberFormat="1" applyFont="1" applyFill="1" applyBorder="1"/>
    <xf numFmtId="10" fontId="5" fillId="0" borderId="0" xfId="2" applyNumberFormat="1" applyFont="1" applyFill="1" applyBorder="1"/>
    <xf numFmtId="10" fontId="6" fillId="3" borderId="0" xfId="2" applyNumberFormat="1" applyFont="1" applyFill="1" applyBorder="1"/>
    <xf numFmtId="10" fontId="6" fillId="0" borderId="5" xfId="2" applyNumberFormat="1" applyFont="1" applyFill="1" applyBorder="1"/>
    <xf numFmtId="10" fontId="6" fillId="0" borderId="6" xfId="2" applyNumberFormat="1" applyFont="1" applyFill="1" applyBorder="1"/>
    <xf numFmtId="10" fontId="5" fillId="3" borderId="8" xfId="2" applyNumberFormat="1" applyFont="1" applyFill="1" applyBorder="1"/>
    <xf numFmtId="10" fontId="5" fillId="3" borderId="0" xfId="2" applyNumberFormat="1" applyFont="1" applyFill="1" applyBorder="1"/>
    <xf numFmtId="10" fontId="6" fillId="0" borderId="5" xfId="2" applyNumberFormat="1" applyFont="1" applyBorder="1"/>
    <xf numFmtId="10" fontId="6" fillId="0" borderId="6" xfId="2" applyNumberFormat="1" applyFont="1" applyBorder="1"/>
    <xf numFmtId="10" fontId="5" fillId="3" borderId="11" xfId="2" applyNumberFormat="1" applyFont="1" applyFill="1" applyBorder="1"/>
    <xf numFmtId="10" fontId="6" fillId="0" borderId="8" xfId="2" applyNumberFormat="1" applyFont="1" applyFill="1" applyBorder="1"/>
    <xf numFmtId="10" fontId="6" fillId="0" borderId="0" xfId="2" applyNumberFormat="1" applyFont="1" applyFill="1" applyBorder="1"/>
    <xf numFmtId="10" fontId="6" fillId="4" borderId="5" xfId="2" applyNumberFormat="1" applyFont="1" applyFill="1" applyBorder="1"/>
    <xf numFmtId="10" fontId="6" fillId="4" borderId="6" xfId="2" applyNumberFormat="1" applyFont="1" applyFill="1" applyBorder="1"/>
    <xf numFmtId="10" fontId="5" fillId="4" borderId="5" xfId="2" applyNumberFormat="1" applyFont="1" applyFill="1" applyBorder="1"/>
    <xf numFmtId="10" fontId="5" fillId="4" borderId="6" xfId="2" applyNumberFormat="1" applyFont="1" applyFill="1" applyBorder="1"/>
    <xf numFmtId="10" fontId="6" fillId="3" borderId="0" xfId="2" applyNumberFormat="1" applyFont="1" applyFill="1"/>
    <xf numFmtId="10" fontId="6" fillId="4" borderId="8" xfId="2" applyNumberFormat="1" applyFont="1" applyFill="1" applyBorder="1"/>
    <xf numFmtId="10" fontId="6" fillId="4" borderId="0" xfId="2" applyNumberFormat="1" applyFont="1" applyFill="1"/>
    <xf numFmtId="10" fontId="6" fillId="4" borderId="0" xfId="2" applyNumberFormat="1" applyFont="1" applyFill="1" applyBorder="1"/>
    <xf numFmtId="10" fontId="5" fillId="0" borderId="6" xfId="2" applyNumberFormat="1" applyFont="1" applyBorder="1"/>
    <xf numFmtId="10" fontId="6" fillId="5" borderId="5" xfId="2" applyNumberFormat="1" applyFont="1" applyFill="1" applyBorder="1"/>
    <xf numFmtId="10" fontId="6" fillId="5" borderId="8" xfId="2" applyNumberFormat="1" applyFont="1" applyFill="1" applyBorder="1"/>
    <xf numFmtId="10" fontId="5" fillId="5" borderId="8" xfId="2" applyNumberFormat="1" applyFont="1" applyFill="1" applyBorder="1"/>
    <xf numFmtId="10" fontId="5" fillId="5" borderId="10" xfId="2" applyNumberFormat="1" applyFont="1" applyFill="1" applyBorder="1"/>
    <xf numFmtId="10" fontId="5" fillId="0" borderId="5" xfId="2" applyNumberFormat="1" applyFont="1" applyBorder="1"/>
    <xf numFmtId="10" fontId="6" fillId="2" borderId="8" xfId="2" applyNumberFormat="1" applyFont="1" applyFill="1" applyBorder="1"/>
    <xf numFmtId="10" fontId="3" fillId="2" borderId="0" xfId="0" applyNumberFormat="1" applyFont="1" applyFill="1"/>
    <xf numFmtId="165" fontId="3" fillId="0" borderId="0" xfId="0" applyNumberFormat="1" applyFont="1"/>
    <xf numFmtId="165" fontId="4" fillId="0" borderId="11" xfId="0" applyNumberFormat="1" applyFont="1" applyBorder="1"/>
    <xf numFmtId="165" fontId="3" fillId="0" borderId="8" xfId="0" applyNumberFormat="1" applyFont="1" applyBorder="1"/>
    <xf numFmtId="165" fontId="4" fillId="0" borderId="10" xfId="0" applyNumberFormat="1" applyFont="1" applyBorder="1"/>
    <xf numFmtId="10" fontId="3" fillId="8" borderId="0" xfId="2" applyNumberFormat="1" applyFont="1" applyFill="1"/>
    <xf numFmtId="165" fontId="3" fillId="2" borderId="0" xfId="2" applyNumberFormat="1" applyFont="1" applyFill="1" applyBorder="1"/>
    <xf numFmtId="165" fontId="3" fillId="2" borderId="8" xfId="0" applyNumberFormat="1" applyFont="1" applyFill="1" applyBorder="1"/>
    <xf numFmtId="168" fontId="3" fillId="0" borderId="0" xfId="0" applyNumberFormat="1" applyFont="1"/>
    <xf numFmtId="168" fontId="3" fillId="0" borderId="8" xfId="0" applyNumberFormat="1" applyFont="1" applyBorder="1"/>
    <xf numFmtId="164" fontId="3" fillId="0" borderId="0" xfId="0" applyNumberFormat="1" applyFont="1"/>
    <xf numFmtId="165" fontId="3" fillId="0" borderId="0" xfId="2" applyNumberFormat="1" applyFont="1"/>
    <xf numFmtId="2" fontId="3" fillId="0" borderId="0" xfId="0" applyNumberFormat="1" applyFont="1"/>
    <xf numFmtId="10" fontId="5" fillId="0" borderId="6" xfId="2" applyNumberFormat="1" applyFont="1" applyFill="1" applyBorder="1"/>
    <xf numFmtId="165" fontId="3" fillId="8" borderId="0" xfId="2" applyNumberFormat="1" applyFont="1" applyFill="1" applyBorder="1"/>
    <xf numFmtId="165" fontId="3" fillId="8" borderId="8" xfId="2" applyNumberFormat="1" applyFont="1" applyFill="1" applyBorder="1"/>
    <xf numFmtId="0" fontId="3" fillId="8" borderId="7" xfId="0" applyFont="1" applyFill="1" applyBorder="1"/>
    <xf numFmtId="165" fontId="3" fillId="2" borderId="5" xfId="2" applyNumberFormat="1" applyFont="1" applyFill="1" applyBorder="1"/>
    <xf numFmtId="165" fontId="3" fillId="8" borderId="0" xfId="2" applyNumberFormat="1" applyFont="1" applyFill="1"/>
    <xf numFmtId="0" fontId="11" fillId="8" borderId="10" xfId="0" applyFont="1" applyFill="1" applyBorder="1" applyAlignment="1">
      <alignment horizontal="center"/>
    </xf>
    <xf numFmtId="0" fontId="12" fillId="8" borderId="10" xfId="0" applyFont="1" applyFill="1" applyBorder="1"/>
    <xf numFmtId="10" fontId="4" fillId="8" borderId="11" xfId="2" applyNumberFormat="1" applyFont="1" applyFill="1" applyBorder="1"/>
    <xf numFmtId="0" fontId="3" fillId="8" borderId="8" xfId="0" applyFont="1" applyFill="1" applyBorder="1"/>
    <xf numFmtId="0" fontId="4" fillId="0" borderId="10" xfId="0" quotePrefix="1" applyFont="1" applyBorder="1"/>
    <xf numFmtId="10" fontId="3" fillId="8" borderId="8" xfId="2" applyNumberFormat="1" applyFont="1" applyFill="1" applyBorder="1"/>
    <xf numFmtId="10" fontId="4" fillId="8" borderId="10" xfId="2" applyNumberFormat="1" applyFont="1" applyFill="1" applyBorder="1"/>
    <xf numFmtId="0" fontId="3" fillId="2" borderId="8" xfId="0" quotePrefix="1" applyFont="1" applyFill="1" applyBorder="1"/>
    <xf numFmtId="10" fontId="3" fillId="2" borderId="0" xfId="2" applyNumberFormat="1" applyFont="1" applyFill="1"/>
    <xf numFmtId="10" fontId="4" fillId="0" borderId="10" xfId="2" applyNumberFormat="1" applyFont="1" applyBorder="1"/>
    <xf numFmtId="10" fontId="4" fillId="0" borderId="3" xfId="0" applyNumberFormat="1" applyFont="1" applyBorder="1"/>
    <xf numFmtId="10" fontId="4" fillId="0" borderId="2" xfId="0" applyNumberFormat="1" applyFont="1" applyBorder="1"/>
    <xf numFmtId="10" fontId="5" fillId="0" borderId="2" xfId="2" applyNumberFormat="1" applyFont="1" applyFill="1" applyBorder="1"/>
    <xf numFmtId="10" fontId="4" fillId="0" borderId="11" xfId="0" applyNumberFormat="1" applyFont="1" applyBorder="1"/>
    <xf numFmtId="168" fontId="4" fillId="0" borderId="11" xfId="0" applyNumberFormat="1" applyFont="1" applyBorder="1"/>
    <xf numFmtId="168" fontId="4" fillId="0" borderId="10" xfId="0" applyNumberFormat="1" applyFont="1" applyBorder="1"/>
    <xf numFmtId="0" fontId="3" fillId="0" borderId="4" xfId="0" applyFont="1" applyBorder="1"/>
    <xf numFmtId="0" fontId="3" fillId="2" borderId="1" xfId="0" applyFont="1" applyFill="1" applyBorder="1"/>
    <xf numFmtId="169" fontId="3" fillId="2" borderId="3" xfId="0" applyNumberFormat="1" applyFont="1" applyFill="1" applyBorder="1"/>
    <xf numFmtId="169" fontId="3" fillId="2" borderId="2" xfId="0" applyNumberFormat="1" applyFont="1" applyFill="1" applyBorder="1"/>
    <xf numFmtId="169" fontId="3" fillId="0" borderId="6" xfId="0" applyNumberFormat="1" applyFont="1" applyBorder="1"/>
    <xf numFmtId="169" fontId="3" fillId="0" borderId="5" xfId="0" applyNumberFormat="1" applyFont="1" applyBorder="1"/>
    <xf numFmtId="169" fontId="4" fillId="2" borderId="11" xfId="0" applyNumberFormat="1" applyFont="1" applyFill="1" applyBorder="1"/>
    <xf numFmtId="169" fontId="4" fillId="2" borderId="10" xfId="0" applyNumberFormat="1" applyFont="1" applyFill="1" applyBorder="1"/>
    <xf numFmtId="0" fontId="3" fillId="8" borderId="1" xfId="0" applyFont="1" applyFill="1" applyBorder="1"/>
    <xf numFmtId="10" fontId="3" fillId="8" borderId="12" xfId="2" applyNumberFormat="1" applyFont="1" applyFill="1" applyBorder="1"/>
    <xf numFmtId="0" fontId="3" fillId="8" borderId="7" xfId="0" quotePrefix="1" applyFont="1" applyFill="1" applyBorder="1"/>
    <xf numFmtId="0" fontId="4" fillId="8" borderId="4" xfId="0" applyFont="1" applyFill="1" applyBorder="1"/>
    <xf numFmtId="10" fontId="4" fillId="8" borderId="14" xfId="2" applyNumberFormat="1" applyFont="1" applyFill="1" applyBorder="1"/>
    <xf numFmtId="10" fontId="4" fillId="8" borderId="2" xfId="0" applyNumberFormat="1" applyFont="1" applyFill="1" applyBorder="1"/>
    <xf numFmtId="10" fontId="4" fillId="8" borderId="3" xfId="0" applyNumberFormat="1" applyFont="1" applyFill="1" applyBorder="1"/>
    <xf numFmtId="10" fontId="4" fillId="8" borderId="12" xfId="2" applyNumberFormat="1" applyFont="1" applyFill="1" applyBorder="1"/>
    <xf numFmtId="167" fontId="3" fillId="2" borderId="8" xfId="0" applyNumberFormat="1" applyFont="1" applyFill="1" applyBorder="1"/>
    <xf numFmtId="167" fontId="3" fillId="2" borderId="0" xfId="0" applyNumberFormat="1" applyFont="1" applyFill="1"/>
    <xf numFmtId="168" fontId="3" fillId="2" borderId="13" xfId="2" applyNumberFormat="1" applyFont="1" applyFill="1" applyBorder="1"/>
    <xf numFmtId="165" fontId="3" fillId="2" borderId="0" xfId="0" applyNumberFormat="1" applyFont="1" applyFill="1"/>
    <xf numFmtId="10" fontId="3" fillId="8" borderId="2" xfId="0" applyNumberFormat="1" applyFont="1" applyFill="1" applyBorder="1"/>
    <xf numFmtId="10" fontId="3" fillId="8" borderId="3" xfId="0" applyNumberFormat="1" applyFont="1" applyFill="1" applyBorder="1"/>
    <xf numFmtId="10" fontId="12" fillId="9" borderId="3" xfId="2" applyNumberFormat="1" applyFont="1" applyFill="1" applyBorder="1" applyAlignment="1">
      <alignment horizontal="right"/>
    </xf>
    <xf numFmtId="10" fontId="4" fillId="0" borderId="6" xfId="0" applyNumberFormat="1" applyFont="1" applyBorder="1"/>
    <xf numFmtId="0" fontId="3" fillId="8" borderId="4" xfId="0" applyFont="1" applyFill="1" applyBorder="1"/>
    <xf numFmtId="10" fontId="12" fillId="9" borderId="2" xfId="2" applyNumberFormat="1" applyFont="1" applyFill="1" applyBorder="1" applyAlignment="1">
      <alignment horizontal="right"/>
    </xf>
    <xf numFmtId="10" fontId="4" fillId="0" borderId="5" xfId="0" applyNumberFormat="1" applyFont="1" applyBorder="1"/>
    <xf numFmtId="0" fontId="4" fillId="8" borderId="1" xfId="0" applyFont="1" applyFill="1" applyBorder="1"/>
    <xf numFmtId="10" fontId="3" fillId="8" borderId="2" xfId="2" applyNumberFormat="1" applyFont="1" applyFill="1" applyBorder="1"/>
    <xf numFmtId="10" fontId="4" fillId="8" borderId="5" xfId="2" applyNumberFormat="1" applyFont="1" applyFill="1" applyBorder="1"/>
    <xf numFmtId="10" fontId="4" fillId="8" borderId="6" xfId="0" applyNumberFormat="1" applyFont="1" applyFill="1" applyBorder="1"/>
    <xf numFmtId="10" fontId="4" fillId="8" borderId="5" xfId="0" applyNumberFormat="1" applyFont="1" applyFill="1" applyBorder="1"/>
    <xf numFmtId="10" fontId="12" fillId="10" borderId="0" xfId="2" applyNumberFormat="1" applyFont="1" applyFill="1" applyBorder="1" applyAlignment="1">
      <alignment horizontal="right"/>
    </xf>
    <xf numFmtId="10" fontId="12" fillId="10" borderId="8" xfId="2" applyNumberFormat="1" applyFont="1" applyFill="1" applyBorder="1" applyAlignment="1">
      <alignment horizontal="right"/>
    </xf>
    <xf numFmtId="0" fontId="4" fillId="2" borderId="4" xfId="0" quotePrefix="1" applyFont="1" applyFill="1" applyBorder="1"/>
    <xf numFmtId="10" fontId="4" fillId="2" borderId="6" xfId="2" applyNumberFormat="1" applyFont="1" applyFill="1" applyBorder="1"/>
    <xf numFmtId="10" fontId="4" fillId="2" borderId="5" xfId="2" applyNumberFormat="1" applyFont="1" applyFill="1" applyBorder="1"/>
    <xf numFmtId="168" fontId="3" fillId="8" borderId="0" xfId="2" applyNumberFormat="1" applyFont="1" applyFill="1" applyBorder="1"/>
    <xf numFmtId="168" fontId="3" fillId="8" borderId="8" xfId="2" applyNumberFormat="1" applyFont="1" applyFill="1" applyBorder="1"/>
    <xf numFmtId="168" fontId="3" fillId="0" borderId="0" xfId="2" applyNumberFormat="1" applyFont="1" applyBorder="1"/>
    <xf numFmtId="168" fontId="3" fillId="0" borderId="8" xfId="2" applyNumberFormat="1" applyFont="1" applyBorder="1"/>
    <xf numFmtId="165" fontId="4" fillId="0" borderId="11" xfId="2" applyNumberFormat="1" applyFont="1" applyBorder="1"/>
    <xf numFmtId="165" fontId="4" fillId="0" borderId="10" xfId="2" applyNumberFormat="1" applyFont="1" applyBorder="1"/>
    <xf numFmtId="165" fontId="4" fillId="0" borderId="3" xfId="2" applyNumberFormat="1" applyFont="1" applyBorder="1"/>
    <xf numFmtId="165" fontId="4" fillId="0" borderId="2" xfId="2" applyNumberFormat="1" applyFont="1" applyBorder="1"/>
    <xf numFmtId="0" fontId="3" fillId="2" borderId="1" xfId="0" quotePrefix="1" applyFont="1" applyFill="1" applyBorder="1"/>
    <xf numFmtId="165" fontId="3" fillId="2" borderId="3" xfId="2" applyNumberFormat="1" applyFont="1" applyFill="1" applyBorder="1"/>
    <xf numFmtId="165" fontId="3" fillId="2" borderId="2" xfId="2" applyNumberFormat="1" applyFont="1" applyFill="1" applyBorder="1"/>
    <xf numFmtId="0" fontId="4" fillId="8" borderId="9" xfId="0" quotePrefix="1" applyFont="1" applyFill="1" applyBorder="1"/>
    <xf numFmtId="165" fontId="4" fillId="8" borderId="11" xfId="2" applyNumberFormat="1" applyFont="1" applyFill="1" applyBorder="1"/>
    <xf numFmtId="165" fontId="4" fillId="8" borderId="10" xfId="2" applyNumberFormat="1" applyFont="1" applyFill="1" applyBorder="1"/>
    <xf numFmtId="168" fontId="3" fillId="0" borderId="3" xfId="0" applyNumberFormat="1" applyFont="1" applyBorder="1"/>
    <xf numFmtId="168" fontId="3" fillId="0" borderId="2" xfId="0" applyNumberFormat="1" applyFont="1" applyBorder="1"/>
    <xf numFmtId="0" fontId="12" fillId="0" borderId="8" xfId="0" applyFont="1" applyBorder="1"/>
    <xf numFmtId="165" fontId="12" fillId="0" borderId="13" xfId="0" applyNumberFormat="1" applyFont="1" applyBorder="1"/>
    <xf numFmtId="0" fontId="12" fillId="5" borderId="8" xfId="0" applyFont="1" applyFill="1" applyBorder="1"/>
    <xf numFmtId="165" fontId="12" fillId="5" borderId="13" xfId="0" applyNumberFormat="1" applyFont="1" applyFill="1" applyBorder="1"/>
    <xf numFmtId="168" fontId="12" fillId="5" borderId="13" xfId="0" applyNumberFormat="1" applyFont="1" applyFill="1" applyBorder="1"/>
    <xf numFmtId="0" fontId="6" fillId="4" borderId="2" xfId="0" applyFont="1" applyFill="1" applyBorder="1"/>
    <xf numFmtId="10" fontId="6" fillId="4" borderId="12" xfId="2" applyNumberFormat="1" applyFont="1" applyFill="1" applyBorder="1"/>
    <xf numFmtId="10" fontId="6" fillId="5" borderId="18" xfId="0" applyNumberFormat="1" applyFont="1" applyFill="1" applyBorder="1"/>
    <xf numFmtId="10" fontId="5" fillId="0" borderId="14" xfId="0" applyNumberFormat="1" applyFont="1" applyBorder="1"/>
    <xf numFmtId="165" fontId="6" fillId="0" borderId="0" xfId="2" applyNumberFormat="1" applyFont="1" applyFill="1" applyBorder="1"/>
    <xf numFmtId="10" fontId="5" fillId="0" borderId="14" xfId="2" applyNumberFormat="1" applyFont="1" applyFill="1" applyBorder="1"/>
    <xf numFmtId="10" fontId="3" fillId="0" borderId="3" xfId="0" applyNumberFormat="1" applyFont="1" applyBorder="1"/>
    <xf numFmtId="10" fontId="3" fillId="0" borderId="2" xfId="0" applyNumberFormat="1" applyFont="1" applyBorder="1"/>
    <xf numFmtId="10" fontId="4" fillId="2" borderId="11" xfId="0" applyNumberFormat="1" applyFont="1" applyFill="1" applyBorder="1"/>
    <xf numFmtId="10" fontId="4" fillId="2" borderId="10" xfId="0" applyNumberFormat="1" applyFont="1" applyFill="1" applyBorder="1"/>
    <xf numFmtId="167" fontId="3" fillId="0" borderId="0" xfId="1" applyNumberFormat="1" applyFont="1" applyBorder="1"/>
    <xf numFmtId="167" fontId="3" fillId="0" borderId="8" xfId="1" applyNumberFormat="1" applyFont="1" applyBorder="1"/>
    <xf numFmtId="0" fontId="4" fillId="2" borderId="1" xfId="0" quotePrefix="1" applyFont="1" applyFill="1" applyBorder="1"/>
    <xf numFmtId="10" fontId="4" fillId="2" borderId="3" xfId="0" applyNumberFormat="1" applyFont="1" applyFill="1" applyBorder="1"/>
    <xf numFmtId="10" fontId="4" fillId="2" borderId="2" xfId="0" applyNumberFormat="1" applyFont="1" applyFill="1" applyBorder="1"/>
    <xf numFmtId="10" fontId="4" fillId="2" borderId="2" xfId="2" applyNumberFormat="1" applyFont="1" applyFill="1" applyBorder="1"/>
    <xf numFmtId="1" fontId="3" fillId="0" borderId="0" xfId="0" applyNumberFormat="1" applyFont="1"/>
    <xf numFmtId="3" fontId="3" fillId="0" borderId="0" xfId="1" applyNumberFormat="1" applyFont="1" applyBorder="1"/>
    <xf numFmtId="3" fontId="3" fillId="0" borderId="13" xfId="0" applyNumberFormat="1" applyFont="1" applyBorder="1"/>
    <xf numFmtId="3" fontId="3" fillId="0" borderId="8" xfId="0" applyNumberFormat="1" applyFont="1" applyBorder="1"/>
    <xf numFmtId="1" fontId="3" fillId="0" borderId="8" xfId="0" applyNumberFormat="1" applyFont="1" applyBorder="1"/>
    <xf numFmtId="0" fontId="13" fillId="0" borderId="0" xfId="0" applyFont="1"/>
    <xf numFmtId="167" fontId="3" fillId="0" borderId="5" xfId="0" applyNumberFormat="1" applyFont="1" applyBorder="1"/>
    <xf numFmtId="0" fontId="4" fillId="0" borderId="5" xfId="0" applyFont="1" applyBorder="1"/>
    <xf numFmtId="168" fontId="3" fillId="0" borderId="13" xfId="0" applyNumberFormat="1" applyFont="1" applyBorder="1"/>
    <xf numFmtId="3" fontId="3" fillId="2" borderId="13" xfId="0" applyNumberFormat="1" applyFont="1" applyFill="1" applyBorder="1"/>
    <xf numFmtId="168" fontId="4" fillId="2" borderId="14" xfId="0" applyNumberFormat="1" applyFont="1" applyFill="1" applyBorder="1"/>
    <xf numFmtId="165" fontId="4" fillId="8" borderId="14" xfId="2" applyNumberFormat="1" applyFont="1" applyFill="1" applyBorder="1"/>
    <xf numFmtId="0" fontId="3" fillId="2" borderId="5" xfId="0" applyFont="1" applyFill="1" applyBorder="1"/>
    <xf numFmtId="168" fontId="3" fillId="2" borderId="5" xfId="0" applyNumberFormat="1" applyFont="1" applyFill="1" applyBorder="1"/>
    <xf numFmtId="168" fontId="3" fillId="2" borderId="6" xfId="0" applyNumberFormat="1" applyFont="1" applyFill="1" applyBorder="1"/>
    <xf numFmtId="10" fontId="3" fillId="2" borderId="5" xfId="0" applyNumberFormat="1" applyFont="1" applyFill="1" applyBorder="1"/>
    <xf numFmtId="10" fontId="3" fillId="2" borderId="6" xfId="0" applyNumberFormat="1" applyFont="1" applyFill="1" applyBorder="1"/>
    <xf numFmtId="10" fontId="3" fillId="2" borderId="5" xfId="2" applyNumberFormat="1" applyFont="1" applyFill="1" applyBorder="1"/>
    <xf numFmtId="10" fontId="3" fillId="2" borderId="6" xfId="2" applyNumberFormat="1" applyFont="1" applyFill="1" applyBorder="1"/>
    <xf numFmtId="169" fontId="3" fillId="2" borderId="8" xfId="0" applyNumberFormat="1" applyFont="1" applyFill="1" applyBorder="1"/>
    <xf numFmtId="169" fontId="3" fillId="2" borderId="0" xfId="0" applyNumberFormat="1" applyFont="1" applyFill="1"/>
    <xf numFmtId="167" fontId="3" fillId="0" borderId="6" xfId="0" applyNumberFormat="1" applyFont="1" applyBorder="1"/>
    <xf numFmtId="0" fontId="4" fillId="8" borderId="1" xfId="0" quotePrefix="1" applyFont="1" applyFill="1" applyBorder="1"/>
    <xf numFmtId="165" fontId="3" fillId="8" borderId="13" xfId="2" applyNumberFormat="1" applyFont="1" applyFill="1" applyBorder="1"/>
    <xf numFmtId="165" fontId="3" fillId="2" borderId="13" xfId="2" applyNumberFormat="1" applyFont="1" applyFill="1" applyBorder="1"/>
    <xf numFmtId="165" fontId="4" fillId="0" borderId="14" xfId="2" applyNumberFormat="1" applyFont="1" applyBorder="1"/>
    <xf numFmtId="165" fontId="3" fillId="2" borderId="12" xfId="2" applyNumberFormat="1" applyFont="1" applyFill="1" applyBorder="1"/>
    <xf numFmtId="168" fontId="3" fillId="0" borderId="12" xfId="0" applyNumberFormat="1" applyFont="1" applyBorder="1"/>
    <xf numFmtId="165" fontId="3" fillId="2" borderId="13" xfId="0" applyNumberFormat="1" applyFont="1" applyFill="1" applyBorder="1"/>
    <xf numFmtId="165" fontId="4" fillId="0" borderId="14" xfId="0" applyNumberFormat="1" applyFont="1" applyBorder="1"/>
    <xf numFmtId="0" fontId="5" fillId="5" borderId="4" xfId="0" applyFont="1" applyFill="1" applyBorder="1"/>
    <xf numFmtId="0" fontId="6" fillId="4" borderId="1" xfId="0" applyFont="1" applyFill="1" applyBorder="1"/>
    <xf numFmtId="0" fontId="6" fillId="10" borderId="7" xfId="0" applyFont="1" applyFill="1" applyBorder="1"/>
    <xf numFmtId="10" fontId="5" fillId="5" borderId="5" xfId="0" applyNumberFormat="1" applyFont="1" applyFill="1" applyBorder="1"/>
    <xf numFmtId="10" fontId="6" fillId="10" borderId="8" xfId="0" applyNumberFormat="1" applyFont="1" applyFill="1" applyBorder="1"/>
    <xf numFmtId="0" fontId="6" fillId="2" borderId="8" xfId="0" applyFont="1" applyFill="1" applyBorder="1"/>
    <xf numFmtId="10" fontId="6" fillId="2" borderId="13" xfId="2" applyNumberFormat="1" applyFont="1" applyFill="1" applyBorder="1"/>
    <xf numFmtId="0" fontId="9" fillId="11" borderId="10" xfId="0" applyFont="1" applyFill="1" applyBorder="1"/>
    <xf numFmtId="0" fontId="14" fillId="11" borderId="14" xfId="0" applyFont="1" applyFill="1" applyBorder="1"/>
    <xf numFmtId="0" fontId="9" fillId="11" borderId="1" xfId="0" applyFont="1" applyFill="1" applyBorder="1"/>
    <xf numFmtId="0" fontId="14" fillId="11" borderId="2" xfId="0" applyFont="1" applyFill="1" applyBorder="1"/>
    <xf numFmtId="10" fontId="12" fillId="0" borderId="13" xfId="0" applyNumberFormat="1" applyFont="1" applyBorder="1"/>
    <xf numFmtId="0" fontId="6" fillId="11" borderId="14" xfId="0" applyFont="1" applyFill="1" applyBorder="1"/>
    <xf numFmtId="0" fontId="7" fillId="12" borderId="10" xfId="0" applyFont="1" applyFill="1" applyBorder="1"/>
    <xf numFmtId="0" fontId="8" fillId="12" borderId="14" xfId="0" applyFont="1" applyFill="1" applyBorder="1"/>
    <xf numFmtId="0" fontId="7" fillId="12" borderId="9" xfId="0" applyFont="1" applyFill="1" applyBorder="1"/>
    <xf numFmtId="0" fontId="7" fillId="12" borderId="10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/>
    </xf>
    <xf numFmtId="0" fontId="7" fillId="11" borderId="10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2" fontId="7" fillId="12" borderId="11" xfId="0" applyNumberFormat="1" applyFont="1" applyFill="1" applyBorder="1" applyAlignment="1">
      <alignment horizontal="center"/>
    </xf>
    <xf numFmtId="2" fontId="7" fillId="12" borderId="10" xfId="0" applyNumberFormat="1" applyFont="1" applyFill="1" applyBorder="1" applyAlignment="1">
      <alignment horizontal="center"/>
    </xf>
    <xf numFmtId="2" fontId="7" fillId="12" borderId="14" xfId="0" applyNumberFormat="1" applyFont="1" applyFill="1" applyBorder="1" applyAlignment="1">
      <alignment horizontal="center"/>
    </xf>
    <xf numFmtId="0" fontId="7" fillId="12" borderId="5" xfId="0" applyFont="1" applyFill="1" applyBorder="1"/>
    <xf numFmtId="0" fontId="7" fillId="11" borderId="5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8" fillId="12" borderId="10" xfId="0" applyFont="1" applyFill="1" applyBorder="1"/>
    <xf numFmtId="0" fontId="8" fillId="12" borderId="11" xfId="0" applyFont="1" applyFill="1" applyBorder="1"/>
    <xf numFmtId="10" fontId="6" fillId="4" borderId="2" xfId="0" applyNumberFormat="1" applyFont="1" applyFill="1" applyBorder="1"/>
    <xf numFmtId="10" fontId="8" fillId="12" borderId="10" xfId="0" applyNumberFormat="1" applyFont="1" applyFill="1" applyBorder="1"/>
    <xf numFmtId="10" fontId="8" fillId="12" borderId="11" xfId="0" applyNumberFormat="1" applyFont="1" applyFill="1" applyBorder="1"/>
    <xf numFmtId="10" fontId="8" fillId="12" borderId="10" xfId="2" applyNumberFormat="1" applyFont="1" applyFill="1" applyBorder="1"/>
    <xf numFmtId="0" fontId="7" fillId="11" borderId="14" xfId="0" applyFont="1" applyFill="1" applyBorder="1" applyAlignment="1">
      <alignment horizontal="center"/>
    </xf>
    <xf numFmtId="0" fontId="7" fillId="12" borderId="2" xfId="0" applyFont="1" applyFill="1" applyBorder="1"/>
    <xf numFmtId="0" fontId="7" fillId="12" borderId="8" xfId="0" applyFont="1" applyFill="1" applyBorder="1"/>
    <xf numFmtId="0" fontId="7" fillId="11" borderId="1" xfId="0" applyFont="1" applyFill="1" applyBorder="1"/>
    <xf numFmtId="0" fontId="3" fillId="12" borderId="9" xfId="0" applyFont="1" applyFill="1" applyBorder="1"/>
    <xf numFmtId="0" fontId="10" fillId="12" borderId="10" xfId="0" applyFont="1" applyFill="1" applyBorder="1"/>
    <xf numFmtId="3" fontId="5" fillId="0" borderId="6" xfId="1" applyNumberFormat="1" applyFont="1" applyFill="1" applyBorder="1"/>
    <xf numFmtId="10" fontId="5" fillId="0" borderId="5" xfId="2" applyNumberFormat="1" applyFont="1" applyFill="1" applyBorder="1"/>
    <xf numFmtId="0" fontId="6" fillId="0" borderId="0" xfId="0" applyFont="1"/>
    <xf numFmtId="0" fontId="5" fillId="0" borderId="0" xfId="0" applyFont="1"/>
    <xf numFmtId="3" fontId="6" fillId="0" borderId="0" xfId="0" applyNumberFormat="1" applyFont="1"/>
    <xf numFmtId="0" fontId="6" fillId="0" borderId="0" xfId="0" quotePrefix="1" applyFont="1"/>
    <xf numFmtId="0" fontId="5" fillId="0" borderId="0" xfId="0" quotePrefix="1" applyFont="1"/>
    <xf numFmtId="0" fontId="6" fillId="0" borderId="6" xfId="0" applyFont="1" applyBorder="1"/>
    <xf numFmtId="9" fontId="3" fillId="0" borderId="0" xfId="0" applyNumberFormat="1" applyFont="1"/>
    <xf numFmtId="0" fontId="4" fillId="0" borderId="0" xfId="0" quotePrefix="1" applyFont="1"/>
    <xf numFmtId="2" fontId="3" fillId="0" borderId="0" xfId="2" applyNumberFormat="1" applyFont="1" applyFill="1"/>
    <xf numFmtId="10" fontId="3" fillId="0" borderId="0" xfId="2" applyNumberFormat="1" applyFont="1" applyFill="1"/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165" fontId="3" fillId="0" borderId="0" xfId="2" applyNumberFormat="1" applyFont="1" applyFill="1" applyBorder="1"/>
    <xf numFmtId="10" fontId="0" fillId="0" borderId="0" xfId="0" applyNumberFormat="1"/>
    <xf numFmtId="10" fontId="4" fillId="0" borderId="0" xfId="0" applyNumberFormat="1" applyFont="1"/>
    <xf numFmtId="14" fontId="7" fillId="12" borderId="2" xfId="0" applyNumberFormat="1" applyFont="1" applyFill="1" applyBorder="1" applyAlignment="1">
      <alignment horizontal="center"/>
    </xf>
    <xf numFmtId="14" fontId="7" fillId="12" borderId="5" xfId="0" applyNumberFormat="1" applyFont="1" applyFill="1" applyBorder="1" applyAlignment="1">
      <alignment horizontal="center"/>
    </xf>
    <xf numFmtId="14" fontId="7" fillId="6" borderId="2" xfId="0" applyNumberFormat="1" applyFont="1" applyFill="1" applyBorder="1" applyAlignment="1">
      <alignment horizontal="center" vertical="center"/>
    </xf>
    <xf numFmtId="14" fontId="7" fillId="6" borderId="5" xfId="0" applyNumberFormat="1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/>
    </xf>
    <xf numFmtId="0" fontId="10" fillId="12" borderId="11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 wrapText="1"/>
    </xf>
    <xf numFmtId="0" fontId="7" fillId="12" borderId="5" xfId="0" applyFont="1" applyFill="1" applyBorder="1" applyAlignment="1">
      <alignment horizontal="center" wrapText="1"/>
    </xf>
    <xf numFmtId="0" fontId="7" fillId="12" borderId="18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colors>
    <mruColors>
      <color rgb="FF4EA7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9247D-4106-4CCA-AC62-42084E3AFD94}">
  <dimension ref="B1:S145"/>
  <sheetViews>
    <sheetView topLeftCell="A71" zoomScale="120" zoomScaleNormal="120" workbookViewId="0">
      <selection activeCell="B93" sqref="B93"/>
    </sheetView>
  </sheetViews>
  <sheetFormatPr baseColWidth="10" defaultRowHeight="13.8" x14ac:dyDescent="0.25"/>
  <cols>
    <col min="1" max="1" width="3.33203125" style="2" customWidth="1"/>
    <col min="2" max="2" width="33.77734375" style="2" customWidth="1"/>
    <col min="3" max="9" width="11.5546875" style="2"/>
    <col min="10" max="10" width="13.77734375" style="2" customWidth="1"/>
    <col min="11" max="16384" width="11.5546875" style="2"/>
  </cols>
  <sheetData>
    <row r="1" spans="2:11" ht="17.399999999999999" x14ac:dyDescent="0.3">
      <c r="B1" s="1" t="s">
        <v>0</v>
      </c>
    </row>
    <row r="2" spans="2:11" x14ac:dyDescent="0.25">
      <c r="B2" s="417" t="s">
        <v>1</v>
      </c>
      <c r="C2" s="400">
        <v>2017</v>
      </c>
      <c r="D2" s="401">
        <v>2018</v>
      </c>
      <c r="E2" s="400">
        <v>2019</v>
      </c>
      <c r="F2" s="401">
        <v>2020</v>
      </c>
      <c r="G2" s="400">
        <v>2021</v>
      </c>
      <c r="H2" s="401">
        <v>2022</v>
      </c>
      <c r="I2" s="400" t="s">
        <v>2</v>
      </c>
    </row>
    <row r="3" spans="2:11" x14ac:dyDescent="0.25">
      <c r="B3" s="10" t="s">
        <v>3</v>
      </c>
      <c r="C3" s="11">
        <v>32438</v>
      </c>
      <c r="D3" s="12">
        <v>34709</v>
      </c>
      <c r="E3" s="11">
        <v>36655</v>
      </c>
      <c r="F3" s="12">
        <v>39503</v>
      </c>
      <c r="G3" s="11">
        <v>41136</v>
      </c>
      <c r="H3" s="12">
        <v>46664</v>
      </c>
      <c r="I3" s="11">
        <v>51496</v>
      </c>
    </row>
    <row r="4" spans="2:11" x14ac:dyDescent="0.25">
      <c r="B4" s="13" t="s">
        <v>4</v>
      </c>
      <c r="C4" s="14">
        <v>-25221</v>
      </c>
      <c r="D4" s="15">
        <v>-27174</v>
      </c>
      <c r="E4" s="14">
        <v>-28897</v>
      </c>
      <c r="F4" s="15">
        <v>-31266</v>
      </c>
      <c r="G4" s="14">
        <v>-32690</v>
      </c>
      <c r="H4" s="15">
        <v>-37662</v>
      </c>
      <c r="I4" s="14">
        <v>-41432</v>
      </c>
    </row>
    <row r="5" spans="2:11" x14ac:dyDescent="0.25">
      <c r="B5" s="16" t="s">
        <v>5</v>
      </c>
      <c r="C5" s="17">
        <v>7217</v>
      </c>
      <c r="D5" s="18">
        <v>7535</v>
      </c>
      <c r="E5" s="17">
        <v>7758</v>
      </c>
      <c r="F5" s="18">
        <v>8237</v>
      </c>
      <c r="G5" s="17">
        <v>8446</v>
      </c>
      <c r="H5" s="18">
        <v>9002</v>
      </c>
      <c r="I5" s="17">
        <v>10064</v>
      </c>
    </row>
    <row r="6" spans="2:11" x14ac:dyDescent="0.25">
      <c r="B6" s="19" t="s">
        <v>6</v>
      </c>
      <c r="C6" s="20">
        <v>-5068</v>
      </c>
      <c r="D6" s="21">
        <v>-5457</v>
      </c>
      <c r="E6" s="20">
        <v>-5657</v>
      </c>
      <c r="F6" s="21">
        <v>-5957</v>
      </c>
      <c r="G6" s="20">
        <v>-6130</v>
      </c>
      <c r="H6" s="21">
        <v>-6540</v>
      </c>
      <c r="I6" s="20">
        <v>-7230.6666666666642</v>
      </c>
    </row>
    <row r="7" spans="2:11" x14ac:dyDescent="0.25">
      <c r="B7" s="22" t="s">
        <v>7</v>
      </c>
      <c r="C7" s="23">
        <v>-975</v>
      </c>
      <c r="D7" s="24">
        <v>-1018</v>
      </c>
      <c r="E7" s="23">
        <v>-766</v>
      </c>
      <c r="F7" s="24">
        <v>-745</v>
      </c>
      <c r="G7" s="23">
        <v>-688</v>
      </c>
      <c r="H7" s="24">
        <v>-723</v>
      </c>
      <c r="I7" s="23">
        <v>-891.99999999999943</v>
      </c>
    </row>
    <row r="8" spans="2:11" x14ac:dyDescent="0.25">
      <c r="B8" s="25" t="s">
        <v>8</v>
      </c>
      <c r="C8" s="26">
        <v>1174</v>
      </c>
      <c r="D8" s="27">
        <v>1060</v>
      </c>
      <c r="E8" s="26">
        <v>1335</v>
      </c>
      <c r="F8" s="27">
        <v>1535</v>
      </c>
      <c r="G8" s="26">
        <v>1628</v>
      </c>
      <c r="H8" s="27">
        <v>1739</v>
      </c>
      <c r="I8" s="26">
        <v>1941.3333333333362</v>
      </c>
    </row>
    <row r="9" spans="2:11" x14ac:dyDescent="0.25">
      <c r="B9" s="22" t="s">
        <v>9</v>
      </c>
      <c r="C9" s="23">
        <v>-376</v>
      </c>
      <c r="D9" s="24">
        <v>-370</v>
      </c>
      <c r="E9" s="23">
        <v>-589</v>
      </c>
      <c r="F9" s="24">
        <v>-643</v>
      </c>
      <c r="G9" s="23">
        <v>-614</v>
      </c>
      <c r="H9" s="24">
        <v>-615</v>
      </c>
      <c r="I9" s="23">
        <v>-683.99999999999955</v>
      </c>
    </row>
    <row r="10" spans="2:11" x14ac:dyDescent="0.25">
      <c r="B10" s="25" t="s">
        <v>10</v>
      </c>
      <c r="C10" s="26">
        <v>798</v>
      </c>
      <c r="D10" s="27">
        <v>690</v>
      </c>
      <c r="E10" s="26">
        <v>746</v>
      </c>
      <c r="F10" s="27">
        <v>892</v>
      </c>
      <c r="G10" s="26">
        <v>1014</v>
      </c>
      <c r="H10" s="27">
        <v>1124</v>
      </c>
      <c r="I10" s="26">
        <v>1257.3333333333367</v>
      </c>
    </row>
    <row r="11" spans="2:11" x14ac:dyDescent="0.25">
      <c r="B11" s="22" t="s">
        <v>11</v>
      </c>
      <c r="C11" s="28">
        <v>-197.5</v>
      </c>
      <c r="D11" s="29">
        <v>-179.32</v>
      </c>
      <c r="E11" s="28">
        <v>-146.80000000000001</v>
      </c>
      <c r="F11" s="29">
        <v>-190.24</v>
      </c>
      <c r="G11" s="28">
        <v>-197.84</v>
      </c>
      <c r="H11" s="29">
        <v>-244.02</v>
      </c>
      <c r="I11" s="28">
        <v>-280.19333333333395</v>
      </c>
    </row>
    <row r="12" spans="2:11" x14ac:dyDescent="0.25">
      <c r="B12" s="30" t="s">
        <v>12</v>
      </c>
      <c r="C12" s="31">
        <v>600.5</v>
      </c>
      <c r="D12" s="32">
        <v>510.68</v>
      </c>
      <c r="E12" s="31">
        <v>599.20000000000005</v>
      </c>
      <c r="F12" s="32">
        <v>701.76</v>
      </c>
      <c r="G12" s="31">
        <v>816.16</v>
      </c>
      <c r="H12" s="32">
        <v>879.98</v>
      </c>
      <c r="I12" s="31">
        <v>977.14000000000271</v>
      </c>
      <c r="K12" s="159"/>
    </row>
    <row r="13" spans="2:11" x14ac:dyDescent="0.25">
      <c r="B13" s="33" t="s">
        <v>13</v>
      </c>
      <c r="C13" s="34">
        <v>6</v>
      </c>
      <c r="D13" s="35">
        <v>10</v>
      </c>
      <c r="E13" s="34">
        <v>17</v>
      </c>
      <c r="F13" s="35">
        <v>12</v>
      </c>
      <c r="G13" s="34">
        <v>14</v>
      </c>
      <c r="H13" s="35">
        <v>8</v>
      </c>
      <c r="I13" s="34">
        <v>20</v>
      </c>
    </row>
    <row r="14" spans="2:11" x14ac:dyDescent="0.25">
      <c r="B14" s="19" t="s">
        <v>14</v>
      </c>
      <c r="C14" s="20">
        <v>-81</v>
      </c>
      <c r="D14" s="21">
        <v>-66</v>
      </c>
      <c r="E14" s="20">
        <v>-107</v>
      </c>
      <c r="F14" s="21">
        <v>-117</v>
      </c>
      <c r="G14" s="20">
        <v>-118</v>
      </c>
      <c r="H14" s="21">
        <v>-121</v>
      </c>
      <c r="I14" s="20">
        <v>-211</v>
      </c>
    </row>
    <row r="15" spans="2:11" x14ac:dyDescent="0.25">
      <c r="B15" s="36" t="s">
        <v>15</v>
      </c>
      <c r="C15" s="37">
        <v>16.5</v>
      </c>
      <c r="D15" s="38">
        <v>12.32</v>
      </c>
      <c r="E15" s="37">
        <v>19.8</v>
      </c>
      <c r="F15" s="38">
        <v>23.1</v>
      </c>
      <c r="G15" s="37">
        <v>22.88</v>
      </c>
      <c r="H15" s="38">
        <v>24.86</v>
      </c>
      <c r="I15" s="37">
        <v>42.02</v>
      </c>
    </row>
    <row r="16" spans="2:11" x14ac:dyDescent="0.25">
      <c r="B16" s="30" t="s">
        <v>16</v>
      </c>
      <c r="C16" s="31">
        <v>-58.5</v>
      </c>
      <c r="D16" s="32">
        <v>-43.68</v>
      </c>
      <c r="E16" s="31">
        <v>-70.2</v>
      </c>
      <c r="F16" s="32">
        <v>-81.900000000000006</v>
      </c>
      <c r="G16" s="31">
        <v>-81.12</v>
      </c>
      <c r="H16" s="32">
        <v>-88.14</v>
      </c>
      <c r="I16" s="31">
        <v>-148.97999999999999</v>
      </c>
    </row>
    <row r="17" spans="2:9" x14ac:dyDescent="0.25">
      <c r="B17" s="39" t="s">
        <v>17</v>
      </c>
      <c r="C17" s="40">
        <v>542</v>
      </c>
      <c r="D17" s="420">
        <v>467</v>
      </c>
      <c r="E17" s="40">
        <v>529</v>
      </c>
      <c r="F17" s="41">
        <v>619.86</v>
      </c>
      <c r="G17" s="40">
        <v>735.04</v>
      </c>
      <c r="H17" s="41">
        <v>791.84</v>
      </c>
      <c r="I17" s="40">
        <v>828.1600000000027</v>
      </c>
    </row>
    <row r="18" spans="2:9" x14ac:dyDescent="0.25">
      <c r="B18" s="19" t="s">
        <v>18</v>
      </c>
      <c r="C18" s="42">
        <v>0</v>
      </c>
      <c r="D18" s="43">
        <v>0</v>
      </c>
      <c r="E18" s="42">
        <v>0</v>
      </c>
      <c r="F18" s="43">
        <v>0</v>
      </c>
      <c r="G18" s="42">
        <v>32</v>
      </c>
      <c r="H18" s="43">
        <v>72</v>
      </c>
      <c r="I18" s="42">
        <v>0</v>
      </c>
    </row>
    <row r="19" spans="2:9" x14ac:dyDescent="0.25">
      <c r="B19" s="44" t="s">
        <v>19</v>
      </c>
      <c r="C19" s="45">
        <v>0</v>
      </c>
      <c r="D19" s="46">
        <v>0</v>
      </c>
      <c r="E19" s="45">
        <v>0</v>
      </c>
      <c r="F19" s="47">
        <v>-37</v>
      </c>
      <c r="G19" s="45">
        <v>0</v>
      </c>
      <c r="H19" s="46">
        <v>0</v>
      </c>
      <c r="I19" s="45">
        <v>0</v>
      </c>
    </row>
    <row r="20" spans="2:9" x14ac:dyDescent="0.25">
      <c r="B20" s="13" t="s">
        <v>20</v>
      </c>
      <c r="C20" s="48">
        <v>0</v>
      </c>
      <c r="D20" s="49">
        <v>0</v>
      </c>
      <c r="E20" s="48">
        <v>0</v>
      </c>
      <c r="F20" s="49">
        <v>8.14</v>
      </c>
      <c r="G20" s="48">
        <v>-7.04</v>
      </c>
      <c r="H20" s="49">
        <v>-15.84</v>
      </c>
      <c r="I20" s="48">
        <v>0</v>
      </c>
    </row>
    <row r="21" spans="2:9" x14ac:dyDescent="0.25">
      <c r="B21" s="39" t="s">
        <v>21</v>
      </c>
      <c r="C21" s="50">
        <v>542</v>
      </c>
      <c r="D21" s="164">
        <v>467</v>
      </c>
      <c r="E21" s="50">
        <v>529</v>
      </c>
      <c r="F21" s="51">
        <v>591</v>
      </c>
      <c r="G21" s="50">
        <v>760</v>
      </c>
      <c r="H21" s="51">
        <v>848</v>
      </c>
      <c r="I21" s="50">
        <v>828.1600000000027</v>
      </c>
    </row>
    <row r="22" spans="2:9" x14ac:dyDescent="0.25">
      <c r="D22" s="182"/>
    </row>
    <row r="23" spans="2:9" ht="17.399999999999999" x14ac:dyDescent="0.3">
      <c r="B23" s="1" t="s">
        <v>22</v>
      </c>
    </row>
    <row r="24" spans="2:9" x14ac:dyDescent="0.25">
      <c r="B24" s="415" t="s">
        <v>23</v>
      </c>
      <c r="C24" s="438">
        <v>43100</v>
      </c>
      <c r="D24" s="438">
        <v>43465</v>
      </c>
      <c r="E24" s="438">
        <v>43830</v>
      </c>
      <c r="F24" s="438">
        <v>44196</v>
      </c>
      <c r="G24" s="438">
        <v>44561</v>
      </c>
      <c r="H24" s="438">
        <v>44926</v>
      </c>
      <c r="I24" s="438" t="s">
        <v>24</v>
      </c>
    </row>
    <row r="25" spans="2:9" x14ac:dyDescent="0.25">
      <c r="B25" s="416" t="s">
        <v>1</v>
      </c>
      <c r="C25" s="439"/>
      <c r="D25" s="439"/>
      <c r="E25" s="439"/>
      <c r="F25" s="439"/>
      <c r="G25" s="439"/>
      <c r="H25" s="439"/>
      <c r="I25" s="439"/>
    </row>
    <row r="26" spans="2:9" x14ac:dyDescent="0.25">
      <c r="B26" s="52" t="s">
        <v>25</v>
      </c>
      <c r="C26" s="53"/>
      <c r="D26" s="54"/>
      <c r="E26" s="53"/>
      <c r="F26" s="54"/>
      <c r="G26" s="53"/>
      <c r="H26" s="54"/>
      <c r="I26" s="55"/>
    </row>
    <row r="27" spans="2:9" x14ac:dyDescent="0.25">
      <c r="B27" s="56" t="s">
        <v>26</v>
      </c>
      <c r="C27" s="5">
        <v>628</v>
      </c>
      <c r="D27" s="4">
        <v>525</v>
      </c>
      <c r="E27" s="5">
        <v>498</v>
      </c>
      <c r="F27" s="4">
        <v>538</v>
      </c>
      <c r="G27" s="5">
        <v>493</v>
      </c>
      <c r="H27" s="4">
        <v>541</v>
      </c>
      <c r="I27" s="57">
        <v>511</v>
      </c>
    </row>
    <row r="28" spans="2:9" x14ac:dyDescent="0.25">
      <c r="B28" s="58" t="s">
        <v>27</v>
      </c>
      <c r="C28" s="9">
        <v>487</v>
      </c>
      <c r="D28" s="8">
        <v>401</v>
      </c>
      <c r="E28" s="9">
        <v>354</v>
      </c>
      <c r="F28" s="8">
        <v>303</v>
      </c>
      <c r="G28" s="9">
        <v>276</v>
      </c>
      <c r="H28" s="8">
        <v>207</v>
      </c>
      <c r="I28" s="59">
        <v>186</v>
      </c>
    </row>
    <row r="29" spans="2:9" x14ac:dyDescent="0.25">
      <c r="B29" s="56" t="s">
        <v>28</v>
      </c>
      <c r="C29" s="5">
        <v>3845</v>
      </c>
      <c r="D29" s="4">
        <v>3901</v>
      </c>
      <c r="E29" s="5">
        <v>3881</v>
      </c>
      <c r="F29" s="4">
        <v>4088</v>
      </c>
      <c r="G29" s="5">
        <v>3942</v>
      </c>
      <c r="H29" s="4">
        <v>4132</v>
      </c>
      <c r="I29" s="57">
        <v>4307</v>
      </c>
    </row>
    <row r="30" spans="2:9" x14ac:dyDescent="0.25">
      <c r="B30" s="58" t="s">
        <v>29</v>
      </c>
      <c r="C30" s="9">
        <v>273</v>
      </c>
      <c r="D30" s="8">
        <f>+E30</f>
        <v>237</v>
      </c>
      <c r="E30" s="9">
        <v>237</v>
      </c>
      <c r="F30" s="8">
        <v>289</v>
      </c>
      <c r="G30" s="9">
        <v>328</v>
      </c>
      <c r="H30" s="8">
        <v>452</v>
      </c>
      <c r="I30" s="59">
        <v>541</v>
      </c>
    </row>
    <row r="31" spans="2:9" x14ac:dyDescent="0.25">
      <c r="B31" s="56" t="s">
        <v>30</v>
      </c>
      <c r="C31" s="5">
        <v>12</v>
      </c>
      <c r="D31" s="4">
        <v>13</v>
      </c>
      <c r="E31" s="5">
        <v>15</v>
      </c>
      <c r="F31" s="4">
        <v>17</v>
      </c>
      <c r="G31" s="5">
        <v>0</v>
      </c>
      <c r="H31" s="4">
        <v>0</v>
      </c>
      <c r="I31" s="57">
        <v>0</v>
      </c>
    </row>
    <row r="32" spans="2:9" x14ac:dyDescent="0.25">
      <c r="B32" s="58" t="s">
        <v>31</v>
      </c>
      <c r="C32" s="9">
        <v>6</v>
      </c>
      <c r="D32" s="8">
        <v>28</v>
      </c>
      <c r="E32" s="9">
        <v>25</v>
      </c>
      <c r="F32" s="8">
        <v>20</v>
      </c>
      <c r="G32" s="9">
        <v>29</v>
      </c>
      <c r="H32" s="8">
        <v>99</v>
      </c>
      <c r="I32" s="59">
        <v>206</v>
      </c>
    </row>
    <row r="33" spans="2:11" x14ac:dyDescent="0.25">
      <c r="B33" s="56" t="s">
        <v>32</v>
      </c>
      <c r="C33" s="5">
        <v>591</v>
      </c>
      <c r="D33" s="4">
        <v>830</v>
      </c>
      <c r="E33" s="5">
        <v>798</v>
      </c>
      <c r="F33" s="4">
        <v>797</v>
      </c>
      <c r="G33" s="5">
        <v>1191</v>
      </c>
      <c r="H33" s="4">
        <v>1198</v>
      </c>
      <c r="I33" s="57">
        <v>834</v>
      </c>
    </row>
    <row r="34" spans="2:11" x14ac:dyDescent="0.25">
      <c r="B34" s="58" t="s">
        <v>33</v>
      </c>
      <c r="C34" s="9">
        <v>6648</v>
      </c>
      <c r="D34" s="8">
        <v>6445</v>
      </c>
      <c r="E34" s="9">
        <v>4380</v>
      </c>
      <c r="F34" s="8">
        <v>5818</v>
      </c>
      <c r="G34" s="9">
        <v>5189</v>
      </c>
      <c r="H34" s="8">
        <v>6701</v>
      </c>
      <c r="I34" s="59">
        <v>3996</v>
      </c>
    </row>
    <row r="35" spans="2:11" x14ac:dyDescent="0.25">
      <c r="B35" s="56" t="s">
        <v>34</v>
      </c>
      <c r="C35" s="5">
        <v>1299</v>
      </c>
      <c r="D35" s="4">
        <v>1541</v>
      </c>
      <c r="E35" s="5">
        <v>1752</v>
      </c>
      <c r="F35" s="4">
        <v>1606</v>
      </c>
      <c r="G35" s="5">
        <v>1916</v>
      </c>
      <c r="H35" s="4">
        <v>2268</v>
      </c>
      <c r="I35" s="57">
        <v>2523</v>
      </c>
    </row>
    <row r="36" spans="2:11" x14ac:dyDescent="0.25">
      <c r="B36" s="60" t="s">
        <v>35</v>
      </c>
      <c r="C36" s="61">
        <f>SUM(C27:C35)</f>
        <v>13789</v>
      </c>
      <c r="D36" s="62">
        <f t="shared" ref="D36:I36" si="0">SUM(D27:D35)</f>
        <v>13921</v>
      </c>
      <c r="E36" s="61">
        <f t="shared" si="0"/>
        <v>11940</v>
      </c>
      <c r="F36" s="62">
        <f t="shared" si="0"/>
        <v>13476</v>
      </c>
      <c r="G36" s="61">
        <f t="shared" si="0"/>
        <v>13364</v>
      </c>
      <c r="H36" s="62">
        <f t="shared" si="0"/>
        <v>15598</v>
      </c>
      <c r="I36" s="63">
        <f t="shared" si="0"/>
        <v>13104</v>
      </c>
    </row>
    <row r="37" spans="2:11" x14ac:dyDescent="0.25">
      <c r="B37" s="64" t="s">
        <v>36</v>
      </c>
      <c r="C37" s="65"/>
      <c r="D37" s="56"/>
      <c r="E37" s="65"/>
      <c r="F37" s="56"/>
      <c r="G37" s="65"/>
      <c r="H37" s="56"/>
      <c r="I37" s="66"/>
    </row>
    <row r="38" spans="2:11" x14ac:dyDescent="0.25">
      <c r="B38" s="58" t="s">
        <v>37</v>
      </c>
      <c r="C38" s="9">
        <v>275</v>
      </c>
      <c r="D38" s="8">
        <v>234</v>
      </c>
      <c r="E38" s="9">
        <v>185</v>
      </c>
      <c r="F38" s="8">
        <v>165</v>
      </c>
      <c r="G38" s="9">
        <v>164</v>
      </c>
      <c r="H38" s="8">
        <v>145</v>
      </c>
      <c r="I38" s="59">
        <v>150</v>
      </c>
    </row>
    <row r="39" spans="2:11" x14ac:dyDescent="0.25">
      <c r="B39" s="56" t="s">
        <v>38</v>
      </c>
      <c r="C39" s="5">
        <v>6755</v>
      </c>
      <c r="D39" s="4">
        <v>7125</v>
      </c>
      <c r="E39" s="5">
        <v>6113</v>
      </c>
      <c r="F39" s="4">
        <v>6934</v>
      </c>
      <c r="G39" s="5">
        <v>6574</v>
      </c>
      <c r="H39" s="4">
        <v>8100</v>
      </c>
      <c r="I39" s="57">
        <v>5007</v>
      </c>
    </row>
    <row r="40" spans="2:11" x14ac:dyDescent="0.25">
      <c r="B40" s="58" t="s">
        <v>39</v>
      </c>
      <c r="C40" s="9">
        <v>121</v>
      </c>
      <c r="D40" s="8">
        <v>231</v>
      </c>
      <c r="E40" s="9">
        <v>213</v>
      </c>
      <c r="F40" s="8">
        <v>133</v>
      </c>
      <c r="G40" s="9">
        <v>136</v>
      </c>
      <c r="H40" s="8">
        <v>265</v>
      </c>
      <c r="I40" s="59">
        <v>150</v>
      </c>
    </row>
    <row r="41" spans="2:11" x14ac:dyDescent="0.25">
      <c r="B41" s="56" t="s">
        <v>40</v>
      </c>
      <c r="C41" s="5">
        <v>258</v>
      </c>
      <c r="D41" s="4">
        <v>247</v>
      </c>
      <c r="E41" s="5">
        <v>111</v>
      </c>
      <c r="F41" s="4">
        <v>184</v>
      </c>
      <c r="G41" s="5">
        <v>27</v>
      </c>
      <c r="H41" s="4">
        <v>50</v>
      </c>
      <c r="I41" s="57">
        <v>49</v>
      </c>
    </row>
    <row r="42" spans="2:11" x14ac:dyDescent="0.25">
      <c r="B42" s="58" t="s">
        <v>41</v>
      </c>
      <c r="C42" s="9">
        <v>3088</v>
      </c>
      <c r="D42" s="8">
        <v>2904</v>
      </c>
      <c r="E42" s="9">
        <v>2905</v>
      </c>
      <c r="F42" s="8">
        <v>3710</v>
      </c>
      <c r="G42" s="9">
        <v>3562</v>
      </c>
      <c r="H42" s="8">
        <v>3424</v>
      </c>
      <c r="I42" s="59">
        <v>2989</v>
      </c>
    </row>
    <row r="43" spans="2:11" x14ac:dyDescent="0.25">
      <c r="B43" s="67" t="s">
        <v>42</v>
      </c>
      <c r="C43" s="68">
        <f>+SUM(C38:C42)</f>
        <v>10497</v>
      </c>
      <c r="D43" s="69">
        <f t="shared" ref="D43:I43" si="1">+SUM(D38:D42)</f>
        <v>10741</v>
      </c>
      <c r="E43" s="68">
        <f t="shared" si="1"/>
        <v>9527</v>
      </c>
      <c r="F43" s="69">
        <f t="shared" si="1"/>
        <v>11126</v>
      </c>
      <c r="G43" s="68">
        <f t="shared" si="1"/>
        <v>10463</v>
      </c>
      <c r="H43" s="69">
        <f t="shared" si="1"/>
        <v>11984</v>
      </c>
      <c r="I43" s="70">
        <f t="shared" si="1"/>
        <v>8345</v>
      </c>
    </row>
    <row r="44" spans="2:11" ht="14.4" thickBot="1" x14ac:dyDescent="0.3">
      <c r="B44" s="71" t="s">
        <v>43</v>
      </c>
      <c r="C44" s="72">
        <f t="shared" ref="C44:I44" si="2">+C36-C43</f>
        <v>3292</v>
      </c>
      <c r="D44" s="73">
        <f t="shared" si="2"/>
        <v>3180</v>
      </c>
      <c r="E44" s="72">
        <f t="shared" si="2"/>
        <v>2413</v>
      </c>
      <c r="F44" s="73">
        <f t="shared" si="2"/>
        <v>2350</v>
      </c>
      <c r="G44" s="72">
        <f t="shared" si="2"/>
        <v>2901</v>
      </c>
      <c r="H44" s="73">
        <f t="shared" si="2"/>
        <v>3614</v>
      </c>
      <c r="I44" s="74">
        <f t="shared" si="2"/>
        <v>4759</v>
      </c>
      <c r="K44" s="165"/>
    </row>
    <row r="45" spans="2:11" x14ac:dyDescent="0.25">
      <c r="B45" s="64" t="s">
        <v>44</v>
      </c>
      <c r="C45" s="65"/>
      <c r="D45" s="56"/>
      <c r="E45" s="65"/>
      <c r="F45" s="56"/>
      <c r="G45" s="65"/>
      <c r="H45" s="56"/>
      <c r="I45" s="66"/>
    </row>
    <row r="46" spans="2:11" x14ac:dyDescent="0.25">
      <c r="B46" s="58" t="s">
        <v>45</v>
      </c>
      <c r="C46" s="9">
        <v>355</v>
      </c>
      <c r="D46" s="8">
        <v>410</v>
      </c>
      <c r="E46" s="9">
        <v>464</v>
      </c>
      <c r="F46" s="8">
        <v>503</v>
      </c>
      <c r="G46" s="9">
        <v>657</v>
      </c>
      <c r="H46" s="8">
        <v>680</v>
      </c>
      <c r="I46" s="59">
        <v>680</v>
      </c>
    </row>
    <row r="47" spans="2:11" x14ac:dyDescent="0.25">
      <c r="B47" s="56" t="s">
        <v>46</v>
      </c>
      <c r="C47" s="5">
        <v>1425</v>
      </c>
      <c r="D47" s="4">
        <v>1418</v>
      </c>
      <c r="E47" s="5">
        <v>1360</v>
      </c>
      <c r="F47" s="4">
        <v>1627</v>
      </c>
      <c r="G47" s="5">
        <v>1444</v>
      </c>
      <c r="H47" s="4">
        <v>1518</v>
      </c>
      <c r="I47" s="57">
        <v>1763</v>
      </c>
    </row>
    <row r="48" spans="2:11" x14ac:dyDescent="0.25">
      <c r="B48" s="58" t="s">
        <v>47</v>
      </c>
      <c r="C48" s="9">
        <v>1594</v>
      </c>
      <c r="D48" s="8">
        <v>1409</v>
      </c>
      <c r="E48" s="9">
        <v>1251</v>
      </c>
      <c r="F48" s="8">
        <v>1254</v>
      </c>
      <c r="G48" s="9">
        <v>1406</v>
      </c>
      <c r="H48" s="8">
        <v>1531</v>
      </c>
      <c r="I48" s="59">
        <v>1770</v>
      </c>
    </row>
    <row r="49" spans="2:9" x14ac:dyDescent="0.25">
      <c r="B49" s="67" t="s">
        <v>48</v>
      </c>
      <c r="C49" s="68">
        <f>SUM(C46:C48)</f>
        <v>3374</v>
      </c>
      <c r="D49" s="69">
        <f t="shared" ref="D49:I49" si="3">SUM(D46:D48)</f>
        <v>3237</v>
      </c>
      <c r="E49" s="68">
        <f t="shared" si="3"/>
        <v>3075</v>
      </c>
      <c r="F49" s="69">
        <f t="shared" si="3"/>
        <v>3384</v>
      </c>
      <c r="G49" s="68">
        <f t="shared" si="3"/>
        <v>3507</v>
      </c>
      <c r="H49" s="69">
        <f t="shared" si="3"/>
        <v>3729</v>
      </c>
      <c r="I49" s="70">
        <f t="shared" si="3"/>
        <v>4213</v>
      </c>
    </row>
    <row r="50" spans="2:9" x14ac:dyDescent="0.25">
      <c r="B50" s="75" t="s">
        <v>49</v>
      </c>
      <c r="D50" s="58"/>
      <c r="F50" s="58"/>
      <c r="H50" s="58"/>
      <c r="I50" s="76"/>
    </row>
    <row r="51" spans="2:9" x14ac:dyDescent="0.25">
      <c r="B51" s="56" t="s">
        <v>50</v>
      </c>
      <c r="C51" s="5">
        <v>120</v>
      </c>
      <c r="D51" s="4">
        <v>557</v>
      </c>
      <c r="E51" s="5">
        <v>472</v>
      </c>
      <c r="F51" s="4">
        <v>475</v>
      </c>
      <c r="G51" s="5">
        <v>475</v>
      </c>
      <c r="H51" s="4">
        <v>0</v>
      </c>
      <c r="I51" s="57">
        <v>588</v>
      </c>
    </row>
    <row r="52" spans="2:9" x14ac:dyDescent="0.25">
      <c r="B52" s="58" t="s">
        <v>51</v>
      </c>
      <c r="C52" s="9"/>
      <c r="D52" s="8"/>
      <c r="E52" s="9">
        <v>102</v>
      </c>
      <c r="F52" s="8">
        <v>83</v>
      </c>
      <c r="G52" s="9">
        <v>53</v>
      </c>
      <c r="H52" s="8">
        <v>36</v>
      </c>
      <c r="I52" s="59">
        <v>0</v>
      </c>
    </row>
    <row r="53" spans="2:9" x14ac:dyDescent="0.25">
      <c r="B53" s="56" t="s">
        <v>52</v>
      </c>
      <c r="C53" s="5"/>
      <c r="D53" s="4"/>
      <c r="E53" s="5">
        <v>768</v>
      </c>
      <c r="F53" s="4">
        <v>1039</v>
      </c>
      <c r="G53" s="5">
        <v>986</v>
      </c>
      <c r="H53" s="4">
        <v>1018</v>
      </c>
      <c r="I53" s="57">
        <v>1149</v>
      </c>
    </row>
    <row r="54" spans="2:9" x14ac:dyDescent="0.25">
      <c r="B54" s="58" t="s">
        <v>53</v>
      </c>
      <c r="C54" s="9">
        <v>13</v>
      </c>
      <c r="D54" s="8">
        <v>8</v>
      </c>
      <c r="E54" s="9">
        <v>8</v>
      </c>
      <c r="F54" s="8">
        <v>7</v>
      </c>
      <c r="G54" s="9">
        <v>190</v>
      </c>
      <c r="H54" s="8">
        <v>116</v>
      </c>
      <c r="I54" s="59">
        <v>148</v>
      </c>
    </row>
    <row r="55" spans="2:9" x14ac:dyDescent="0.25">
      <c r="B55" s="56" t="s">
        <v>54</v>
      </c>
      <c r="C55" s="5">
        <v>903</v>
      </c>
      <c r="D55" s="4">
        <v>224</v>
      </c>
      <c r="E55" s="5">
        <v>575</v>
      </c>
      <c r="F55" s="4">
        <v>7</v>
      </c>
      <c r="G55" s="5">
        <v>8</v>
      </c>
      <c r="H55" s="4">
        <v>586</v>
      </c>
      <c r="I55" s="57">
        <v>570</v>
      </c>
    </row>
    <row r="56" spans="2:9" x14ac:dyDescent="0.25">
      <c r="B56" s="58" t="s">
        <v>55</v>
      </c>
      <c r="C56" s="9"/>
      <c r="D56" s="8"/>
      <c r="E56" s="9">
        <v>149</v>
      </c>
      <c r="F56" s="8">
        <v>126</v>
      </c>
      <c r="G56" s="9">
        <v>71</v>
      </c>
      <c r="H56" s="8">
        <v>45</v>
      </c>
      <c r="I56" s="59">
        <v>0</v>
      </c>
    </row>
    <row r="57" spans="2:9" x14ac:dyDescent="0.25">
      <c r="B57" s="56" t="s">
        <v>56</v>
      </c>
      <c r="C57" s="5"/>
      <c r="D57" s="4"/>
      <c r="E57" s="5">
        <v>273</v>
      </c>
      <c r="F57" s="4">
        <v>310</v>
      </c>
      <c r="G57" s="5">
        <v>284</v>
      </c>
      <c r="H57" s="4">
        <v>318</v>
      </c>
      <c r="I57" s="57">
        <v>423</v>
      </c>
    </row>
    <row r="58" spans="2:9" x14ac:dyDescent="0.25">
      <c r="B58" s="58" t="s">
        <v>57</v>
      </c>
      <c r="C58" s="9">
        <v>8</v>
      </c>
      <c r="D58" s="8">
        <v>10</v>
      </c>
      <c r="E58" s="9">
        <v>8</v>
      </c>
      <c r="F58" s="8">
        <v>28</v>
      </c>
      <c r="G58" s="9">
        <v>12</v>
      </c>
      <c r="H58" s="8">
        <v>26</v>
      </c>
      <c r="I58" s="59">
        <v>0</v>
      </c>
    </row>
    <row r="59" spans="2:9" x14ac:dyDescent="0.25">
      <c r="B59" s="67" t="s">
        <v>58</v>
      </c>
      <c r="C59" s="68">
        <f>SUM(C51:C58)</f>
        <v>1044</v>
      </c>
      <c r="D59" s="69">
        <f t="shared" ref="D59:G59" si="4">SUM(D51:D58)</f>
        <v>799</v>
      </c>
      <c r="E59" s="68">
        <f t="shared" si="4"/>
        <v>2355</v>
      </c>
      <c r="F59" s="69">
        <f t="shared" si="4"/>
        <v>2075</v>
      </c>
      <c r="G59" s="68">
        <f t="shared" si="4"/>
        <v>2079</v>
      </c>
      <c r="H59" s="69">
        <f>SUM(H51:H58)</f>
        <v>2145</v>
      </c>
      <c r="I59" s="69">
        <f>SUM(I51:I58)</f>
        <v>2878</v>
      </c>
    </row>
    <row r="60" spans="2:9" ht="14.4" thickBot="1" x14ac:dyDescent="0.3">
      <c r="B60" s="71" t="s">
        <v>59</v>
      </c>
      <c r="C60" s="72">
        <f>+C49+C59</f>
        <v>4418</v>
      </c>
      <c r="D60" s="73">
        <f t="shared" ref="D60:I60" si="5">+D49+D59</f>
        <v>4036</v>
      </c>
      <c r="E60" s="72">
        <f t="shared" si="5"/>
        <v>5430</v>
      </c>
      <c r="F60" s="73">
        <f t="shared" si="5"/>
        <v>5459</v>
      </c>
      <c r="G60" s="72">
        <f t="shared" si="5"/>
        <v>5586</v>
      </c>
      <c r="H60" s="73">
        <f t="shared" si="5"/>
        <v>5874</v>
      </c>
      <c r="I60" s="73">
        <f t="shared" si="5"/>
        <v>7091</v>
      </c>
    </row>
    <row r="61" spans="2:9" x14ac:dyDescent="0.25">
      <c r="B61" s="64" t="s">
        <v>60</v>
      </c>
      <c r="C61" s="65"/>
      <c r="D61" s="56"/>
      <c r="E61" s="65"/>
      <c r="F61" s="56"/>
      <c r="G61" s="65"/>
      <c r="H61" s="56"/>
      <c r="I61" s="56"/>
    </row>
    <row r="62" spans="2:9" x14ac:dyDescent="0.25">
      <c r="B62" s="58" t="s">
        <v>61</v>
      </c>
      <c r="C62" s="9"/>
      <c r="D62" s="8">
        <v>92</v>
      </c>
      <c r="E62" s="9">
        <v>996</v>
      </c>
      <c r="F62" s="8">
        <v>1288</v>
      </c>
      <c r="G62" s="9">
        <v>1200</v>
      </c>
      <c r="H62" s="8">
        <v>1253</v>
      </c>
      <c r="I62" s="8">
        <v>1313</v>
      </c>
    </row>
    <row r="63" spans="2:9" x14ac:dyDescent="0.25">
      <c r="B63" s="56" t="s">
        <v>62</v>
      </c>
      <c r="C63" s="5"/>
      <c r="D63" s="4"/>
      <c r="E63" s="5">
        <v>102</v>
      </c>
      <c r="F63" s="4">
        <v>83</v>
      </c>
      <c r="G63" s="5">
        <v>53</v>
      </c>
      <c r="H63" s="4">
        <v>36</v>
      </c>
      <c r="I63" s="77">
        <v>0</v>
      </c>
    </row>
    <row r="64" spans="2:9" x14ac:dyDescent="0.25">
      <c r="B64" s="58" t="s">
        <v>63</v>
      </c>
      <c r="C64" s="9"/>
      <c r="D64" s="8"/>
      <c r="E64" s="9">
        <v>149</v>
      </c>
      <c r="F64" s="8">
        <v>126</v>
      </c>
      <c r="G64" s="9">
        <v>71</v>
      </c>
      <c r="H64" s="8">
        <v>45</v>
      </c>
      <c r="I64" s="8">
        <v>0</v>
      </c>
    </row>
    <row r="65" spans="2:19" x14ac:dyDescent="0.25">
      <c r="B65" s="56" t="s">
        <v>64</v>
      </c>
      <c r="C65" s="5">
        <v>1</v>
      </c>
      <c r="D65" s="4">
        <v>1</v>
      </c>
      <c r="E65" s="5">
        <v>1</v>
      </c>
      <c r="F65" s="4">
        <v>5</v>
      </c>
      <c r="G65" s="5">
        <v>7</v>
      </c>
      <c r="H65" s="4">
        <v>4</v>
      </c>
      <c r="I65" s="4">
        <v>0</v>
      </c>
    </row>
    <row r="66" spans="2:19" x14ac:dyDescent="0.25">
      <c r="B66" s="58" t="s">
        <v>65</v>
      </c>
      <c r="C66" s="9">
        <v>1125</v>
      </c>
      <c r="D66" s="8">
        <v>764</v>
      </c>
      <c r="E66" s="9">
        <v>1769</v>
      </c>
      <c r="F66" s="8">
        <v>1605</v>
      </c>
      <c r="G66" s="9">
        <v>1353</v>
      </c>
      <c r="H66" s="8">
        <v>922</v>
      </c>
      <c r="I66" s="8">
        <v>1019</v>
      </c>
    </row>
    <row r="67" spans="2:19" x14ac:dyDescent="0.25">
      <c r="B67" s="67" t="s">
        <v>66</v>
      </c>
      <c r="C67" s="68">
        <f>SUM(C62:C66)</f>
        <v>1126</v>
      </c>
      <c r="D67" s="69">
        <f t="shared" ref="D67:I67" si="6">SUM(D62:D66)</f>
        <v>857</v>
      </c>
      <c r="E67" s="68">
        <f t="shared" si="6"/>
        <v>3017</v>
      </c>
      <c r="F67" s="69">
        <f t="shared" si="6"/>
        <v>3107</v>
      </c>
      <c r="G67" s="68">
        <f t="shared" si="6"/>
        <v>2684</v>
      </c>
      <c r="H67" s="69">
        <f t="shared" si="6"/>
        <v>2260</v>
      </c>
      <c r="I67" s="69">
        <f t="shared" si="6"/>
        <v>2332</v>
      </c>
    </row>
    <row r="68" spans="2:19" x14ac:dyDescent="0.25">
      <c r="B68" s="60" t="s">
        <v>67</v>
      </c>
      <c r="C68" s="61">
        <f>+C59-C67</f>
        <v>-82</v>
      </c>
      <c r="D68" s="62">
        <f t="shared" ref="D68:I68" si="7">+D59-D67</f>
        <v>-58</v>
      </c>
      <c r="E68" s="61">
        <f t="shared" si="7"/>
        <v>-662</v>
      </c>
      <c r="F68" s="62">
        <f t="shared" si="7"/>
        <v>-1032</v>
      </c>
      <c r="G68" s="61">
        <f t="shared" si="7"/>
        <v>-605</v>
      </c>
      <c r="H68" s="62">
        <f>+H59-H67</f>
        <v>-115</v>
      </c>
      <c r="I68" s="62">
        <f t="shared" si="7"/>
        <v>546</v>
      </c>
    </row>
    <row r="69" spans="2:19" ht="14.4" thickBot="1" x14ac:dyDescent="0.3">
      <c r="B69" s="78" t="s">
        <v>43</v>
      </c>
      <c r="C69" s="79">
        <f>+C68+C49</f>
        <v>3292</v>
      </c>
      <c r="D69" s="80">
        <f t="shared" ref="D69:I69" si="8">+D68+D49</f>
        <v>3179</v>
      </c>
      <c r="E69" s="79">
        <f t="shared" si="8"/>
        <v>2413</v>
      </c>
      <c r="F69" s="80">
        <f t="shared" si="8"/>
        <v>2352</v>
      </c>
      <c r="G69" s="79">
        <f t="shared" si="8"/>
        <v>2902</v>
      </c>
      <c r="H69" s="80">
        <f t="shared" si="8"/>
        <v>3614</v>
      </c>
      <c r="I69" s="80">
        <f t="shared" si="8"/>
        <v>4759</v>
      </c>
    </row>
    <row r="70" spans="2:19" x14ac:dyDescent="0.25">
      <c r="Q70" s="169"/>
      <c r="R70" s="169"/>
      <c r="S70" s="169"/>
    </row>
    <row r="71" spans="2:19" ht="17.399999999999999" x14ac:dyDescent="0.3">
      <c r="B71" s="1" t="s">
        <v>129</v>
      </c>
    </row>
    <row r="72" spans="2:19" x14ac:dyDescent="0.25">
      <c r="B72" s="417" t="s">
        <v>1</v>
      </c>
      <c r="C72" s="400">
        <v>2017</v>
      </c>
      <c r="D72" s="401">
        <v>2018</v>
      </c>
      <c r="E72" s="400">
        <v>2019</v>
      </c>
      <c r="F72" s="401">
        <v>2020</v>
      </c>
      <c r="G72" s="400">
        <v>2021</v>
      </c>
      <c r="H72" s="401">
        <v>2022</v>
      </c>
      <c r="I72" s="400" t="s">
        <v>2</v>
      </c>
    </row>
    <row r="73" spans="2:19" x14ac:dyDescent="0.25">
      <c r="B73" s="10" t="s">
        <v>3</v>
      </c>
      <c r="C73" s="212">
        <f>+C3/C$3</f>
        <v>1</v>
      </c>
      <c r="D73" s="213">
        <f t="shared" ref="D73:I73" si="9">+D3/D$3</f>
        <v>1</v>
      </c>
      <c r="E73" s="212">
        <f t="shared" si="9"/>
        <v>1</v>
      </c>
      <c r="F73" s="213">
        <f t="shared" si="9"/>
        <v>1</v>
      </c>
      <c r="G73" s="212">
        <f t="shared" si="9"/>
        <v>1</v>
      </c>
      <c r="H73" s="213">
        <f t="shared" si="9"/>
        <v>1</v>
      </c>
      <c r="I73" s="212">
        <f t="shared" si="9"/>
        <v>1</v>
      </c>
    </row>
    <row r="74" spans="2:19" x14ac:dyDescent="0.25">
      <c r="B74" s="13" t="s">
        <v>4</v>
      </c>
      <c r="C74" s="209">
        <f t="shared" ref="C74:C91" si="10">+C4/C$3</f>
        <v>-0.77751402675873971</v>
      </c>
      <c r="D74" s="214">
        <f t="shared" ref="D74:I74" si="11">+D4/D$3</f>
        <v>-0.78290933187357747</v>
      </c>
      <c r="E74" s="209">
        <f t="shared" si="11"/>
        <v>-0.78835083890328739</v>
      </c>
      <c r="F74" s="214">
        <f t="shared" si="11"/>
        <v>-0.79148419107409562</v>
      </c>
      <c r="G74" s="209">
        <f t="shared" si="11"/>
        <v>-0.79468105795410349</v>
      </c>
      <c r="H74" s="214">
        <f t="shared" si="11"/>
        <v>-0.80708897651294365</v>
      </c>
      <c r="I74" s="209">
        <f t="shared" si="11"/>
        <v>-0.80456734503650773</v>
      </c>
    </row>
    <row r="75" spans="2:19" x14ac:dyDescent="0.25">
      <c r="B75" s="16" t="s">
        <v>5</v>
      </c>
      <c r="C75" s="215">
        <f t="shared" si="10"/>
        <v>0.22248597324126024</v>
      </c>
      <c r="D75" s="216">
        <f t="shared" ref="D75:I75" si="12">+D5/D$3</f>
        <v>0.21709066812642255</v>
      </c>
      <c r="E75" s="215">
        <f t="shared" si="12"/>
        <v>0.21164916109671258</v>
      </c>
      <c r="F75" s="216">
        <f t="shared" si="12"/>
        <v>0.20851580892590435</v>
      </c>
      <c r="G75" s="215">
        <f t="shared" si="12"/>
        <v>0.20531894204589654</v>
      </c>
      <c r="H75" s="216">
        <f t="shared" si="12"/>
        <v>0.19291102348705641</v>
      </c>
      <c r="I75" s="215">
        <f t="shared" si="12"/>
        <v>0.1954326549634923</v>
      </c>
    </row>
    <row r="76" spans="2:19" x14ac:dyDescent="0.25">
      <c r="B76" s="19" t="s">
        <v>6</v>
      </c>
      <c r="C76" s="208">
        <f t="shared" si="10"/>
        <v>-0.156236512731981</v>
      </c>
      <c r="D76" s="217">
        <f t="shared" ref="D76:I76" si="13">+D6/D$3</f>
        <v>-0.15722146993575153</v>
      </c>
      <c r="E76" s="208">
        <f t="shared" si="13"/>
        <v>-0.15433092347565133</v>
      </c>
      <c r="F76" s="217">
        <f t="shared" si="13"/>
        <v>-0.15079867351846696</v>
      </c>
      <c r="G76" s="208">
        <f t="shared" si="13"/>
        <v>-0.14901789187086736</v>
      </c>
      <c r="H76" s="217">
        <f t="shared" si="13"/>
        <v>-0.14015086576375793</v>
      </c>
      <c r="I76" s="208">
        <f t="shared" si="13"/>
        <v>-0.1404122003003469</v>
      </c>
    </row>
    <row r="77" spans="2:19" x14ac:dyDescent="0.25">
      <c r="B77" s="22" t="s">
        <v>7</v>
      </c>
      <c r="C77" s="218">
        <f t="shared" si="10"/>
        <v>-3.0057340156606448E-2</v>
      </c>
      <c r="D77" s="219">
        <f t="shared" ref="D77:I77" si="14">+D7/D$3</f>
        <v>-2.9329568699760868E-2</v>
      </c>
      <c r="E77" s="218">
        <f t="shared" si="14"/>
        <v>-2.0897558314009003E-2</v>
      </c>
      <c r="F77" s="219">
        <f t="shared" si="14"/>
        <v>-1.8859327139710908E-2</v>
      </c>
      <c r="G77" s="218">
        <f t="shared" si="14"/>
        <v>-1.6725009723842863E-2</v>
      </c>
      <c r="H77" s="219">
        <f t="shared" si="14"/>
        <v>-1.5493742499571405E-2</v>
      </c>
      <c r="I77" s="218">
        <f t="shared" si="14"/>
        <v>-1.7321733726891397E-2</v>
      </c>
    </row>
    <row r="78" spans="2:19" x14ac:dyDescent="0.25">
      <c r="B78" s="25" t="s">
        <v>8</v>
      </c>
      <c r="C78" s="220">
        <f t="shared" si="10"/>
        <v>3.6192120352672788E-2</v>
      </c>
      <c r="D78" s="221">
        <f t="shared" ref="D78:I78" si="15">+D8/D$3</f>
        <v>3.0539629490910138E-2</v>
      </c>
      <c r="E78" s="220">
        <f t="shared" si="15"/>
        <v>3.6420679307052242E-2</v>
      </c>
      <c r="F78" s="221">
        <f t="shared" si="15"/>
        <v>3.8857808267726501E-2</v>
      </c>
      <c r="G78" s="220">
        <f t="shared" si="15"/>
        <v>3.957604045118631E-2</v>
      </c>
      <c r="H78" s="221">
        <f t="shared" si="15"/>
        <v>3.7266415223727069E-2</v>
      </c>
      <c r="I78" s="220">
        <f t="shared" si="15"/>
        <v>3.7698720936254003E-2</v>
      </c>
    </row>
    <row r="79" spans="2:19" x14ac:dyDescent="0.25">
      <c r="B79" s="22" t="s">
        <v>9</v>
      </c>
      <c r="C79" s="218">
        <f t="shared" si="10"/>
        <v>-1.1591343486034897E-2</v>
      </c>
      <c r="D79" s="219">
        <f t="shared" ref="D79:I79" si="16">+D9/D$3</f>
        <v>-1.0660059350600709E-2</v>
      </c>
      <c r="E79" s="218">
        <f t="shared" si="16"/>
        <v>-1.6068749147456009E-2</v>
      </c>
      <c r="F79" s="219">
        <f t="shared" si="16"/>
        <v>-1.6277244766220288E-2</v>
      </c>
      <c r="G79" s="218">
        <f t="shared" si="16"/>
        <v>-1.4926098794243486E-2</v>
      </c>
      <c r="H79" s="219">
        <f t="shared" si="16"/>
        <v>-1.3179324532830447E-2</v>
      </c>
      <c r="I79" s="218">
        <f t="shared" si="16"/>
        <v>-1.3282585055149905E-2</v>
      </c>
    </row>
    <row r="80" spans="2:19" x14ac:dyDescent="0.25">
      <c r="B80" s="25" t="s">
        <v>10</v>
      </c>
      <c r="C80" s="220">
        <f t="shared" si="10"/>
        <v>2.4600776866637895E-2</v>
      </c>
      <c r="D80" s="221">
        <f t="shared" ref="D80:I80" si="17">+D10/D$3</f>
        <v>1.987957014030943E-2</v>
      </c>
      <c r="E80" s="220">
        <f t="shared" si="17"/>
        <v>2.0351930159596236E-2</v>
      </c>
      <c r="F80" s="221">
        <f t="shared" si="17"/>
        <v>2.2580563501506216E-2</v>
      </c>
      <c r="G80" s="220">
        <f t="shared" si="17"/>
        <v>2.4649941656942825E-2</v>
      </c>
      <c r="H80" s="221">
        <f t="shared" si="17"/>
        <v>2.4087090690896623E-2</v>
      </c>
      <c r="I80" s="220">
        <f t="shared" si="17"/>
        <v>2.4416135881104098E-2</v>
      </c>
    </row>
    <row r="81" spans="2:9" x14ac:dyDescent="0.25">
      <c r="B81" s="22" t="s">
        <v>11</v>
      </c>
      <c r="C81" s="222">
        <f t="shared" si="10"/>
        <v>-6.0885381342869471E-3</v>
      </c>
      <c r="D81" s="223">
        <f t="shared" ref="D81:I81" si="18">+D11/D$3</f>
        <v>-5.1663833587830242E-3</v>
      </c>
      <c r="E81" s="222">
        <f t="shared" si="18"/>
        <v>-4.0049106533897151E-3</v>
      </c>
      <c r="F81" s="223">
        <f t="shared" si="18"/>
        <v>-4.8158367718907427E-3</v>
      </c>
      <c r="G81" s="222">
        <f t="shared" si="18"/>
        <v>-4.809412679891093E-3</v>
      </c>
      <c r="H81" s="223">
        <f t="shared" si="18"/>
        <v>-5.2292988170752619E-3</v>
      </c>
      <c r="I81" s="222">
        <f t="shared" si="18"/>
        <v>-5.4410698565584498E-3</v>
      </c>
    </row>
    <row r="82" spans="2:9" x14ac:dyDescent="0.25">
      <c r="B82" s="30" t="s">
        <v>12</v>
      </c>
      <c r="C82" s="210">
        <f t="shared" si="10"/>
        <v>1.8512238732350948E-2</v>
      </c>
      <c r="D82" s="224">
        <f t="shared" ref="D82:I82" si="19">+D12/D$3</f>
        <v>1.4713186781526406E-2</v>
      </c>
      <c r="E82" s="210">
        <f t="shared" si="19"/>
        <v>1.6347019506206522E-2</v>
      </c>
      <c r="F82" s="224">
        <f t="shared" si="19"/>
        <v>1.7764726729615474E-2</v>
      </c>
      <c r="G82" s="210">
        <f t="shared" si="19"/>
        <v>1.9840528977051731E-2</v>
      </c>
      <c r="H82" s="224">
        <f t="shared" si="19"/>
        <v>1.8857791873821361E-2</v>
      </c>
      <c r="I82" s="210">
        <f t="shared" si="19"/>
        <v>1.8975066024545649E-2</v>
      </c>
    </row>
    <row r="83" spans="2:9" x14ac:dyDescent="0.25">
      <c r="B83" s="33" t="s">
        <v>13</v>
      </c>
      <c r="C83" s="225">
        <f t="shared" si="10"/>
        <v>1.8496824711757815E-4</v>
      </c>
      <c r="D83" s="226">
        <f t="shared" ref="D83:I83" si="20">+D13/D$3</f>
        <v>2.8810971217839752E-4</v>
      </c>
      <c r="E83" s="225">
        <f t="shared" si="20"/>
        <v>4.6378393125085253E-4</v>
      </c>
      <c r="F83" s="226">
        <f t="shared" si="20"/>
        <v>3.0377439688124953E-4</v>
      </c>
      <c r="G83" s="225">
        <f t="shared" si="20"/>
        <v>3.4033450019447685E-4</v>
      </c>
      <c r="H83" s="226">
        <f t="shared" si="20"/>
        <v>1.7143836790673754E-4</v>
      </c>
      <c r="I83" s="225">
        <f t="shared" si="20"/>
        <v>3.8837967997514369E-4</v>
      </c>
    </row>
    <row r="84" spans="2:9" x14ac:dyDescent="0.25">
      <c r="B84" s="19" t="s">
        <v>14</v>
      </c>
      <c r="C84" s="208">
        <f t="shared" si="10"/>
        <v>-2.4970713360873051E-3</v>
      </c>
      <c r="D84" s="217">
        <f t="shared" ref="D84:I84" si="21">+D14/D$3</f>
        <v>-1.9015241003774237E-3</v>
      </c>
      <c r="E84" s="208">
        <f t="shared" si="21"/>
        <v>-2.9191106261083071E-3</v>
      </c>
      <c r="F84" s="217">
        <f t="shared" si="21"/>
        <v>-2.9618003695921829E-3</v>
      </c>
      <c r="G84" s="208">
        <f t="shared" si="21"/>
        <v>-2.8685336444963048E-3</v>
      </c>
      <c r="H84" s="217">
        <f t="shared" si="21"/>
        <v>-2.5930053145894051E-3</v>
      </c>
      <c r="I84" s="208">
        <f t="shared" si="21"/>
        <v>-4.0974056237377664E-3</v>
      </c>
    </row>
    <row r="85" spans="2:9" x14ac:dyDescent="0.25">
      <c r="B85" s="36" t="s">
        <v>15</v>
      </c>
      <c r="C85" s="227">
        <f t="shared" si="10"/>
        <v>5.0866267957333988E-4</v>
      </c>
      <c r="D85" s="228">
        <f t="shared" ref="D85:I85" si="22">+D15/D$3</f>
        <v>3.5495116540378577E-4</v>
      </c>
      <c r="E85" s="227">
        <f t="shared" si="22"/>
        <v>5.4017187286864009E-4</v>
      </c>
      <c r="F85" s="228">
        <f t="shared" si="22"/>
        <v>5.847657139964054E-4</v>
      </c>
      <c r="G85" s="227">
        <f t="shared" si="22"/>
        <v>5.5620381174640221E-4</v>
      </c>
      <c r="H85" s="228">
        <f t="shared" si="22"/>
        <v>5.3274472827018681E-4</v>
      </c>
      <c r="I85" s="227">
        <f t="shared" si="22"/>
        <v>8.1598570762777699E-4</v>
      </c>
    </row>
    <row r="86" spans="2:9" x14ac:dyDescent="0.25">
      <c r="B86" s="30" t="s">
        <v>16</v>
      </c>
      <c r="C86" s="210">
        <f t="shared" si="10"/>
        <v>-1.8034404093963869E-3</v>
      </c>
      <c r="D86" s="224">
        <f t="shared" ref="D86:I86" si="23">+D16/D$3</f>
        <v>-1.2584632227952404E-3</v>
      </c>
      <c r="E86" s="210">
        <f t="shared" si="23"/>
        <v>-1.9151548219888148E-3</v>
      </c>
      <c r="F86" s="224">
        <f t="shared" si="23"/>
        <v>-2.073260258714528E-3</v>
      </c>
      <c r="G86" s="210">
        <f t="shared" si="23"/>
        <v>-1.9719953325554262E-3</v>
      </c>
      <c r="H86" s="224">
        <f t="shared" si="23"/>
        <v>-1.8888222184124807E-3</v>
      </c>
      <c r="I86" s="210">
        <f t="shared" si="23"/>
        <v>-2.8930402361348451E-3</v>
      </c>
    </row>
    <row r="87" spans="2:9" x14ac:dyDescent="0.25">
      <c r="B87" s="39" t="s">
        <v>17</v>
      </c>
      <c r="C87" s="229">
        <f t="shared" si="10"/>
        <v>1.6708798322954559E-2</v>
      </c>
      <c r="D87" s="255">
        <f t="shared" ref="D87:I87" si="24">+D17/D$3</f>
        <v>1.3454723558731166E-2</v>
      </c>
      <c r="E87" s="229">
        <f t="shared" si="24"/>
        <v>1.4431864684217706E-2</v>
      </c>
      <c r="F87" s="230">
        <f t="shared" si="24"/>
        <v>1.5691466470900944E-2</v>
      </c>
      <c r="G87" s="229">
        <f t="shared" si="24"/>
        <v>1.7868533644496302E-2</v>
      </c>
      <c r="H87" s="230">
        <f t="shared" si="24"/>
        <v>1.696896965540888E-2</v>
      </c>
      <c r="I87" s="229">
        <f t="shared" si="24"/>
        <v>1.6082025788410802E-2</v>
      </c>
    </row>
    <row r="88" spans="2:9" x14ac:dyDescent="0.25">
      <c r="B88" s="19" t="s">
        <v>18</v>
      </c>
      <c r="C88" s="208">
        <f t="shared" si="10"/>
        <v>0</v>
      </c>
      <c r="D88" s="231">
        <f t="shared" ref="D88:I88" si="25">+D18/D$3</f>
        <v>0</v>
      </c>
      <c r="E88" s="208">
        <f t="shared" si="25"/>
        <v>0</v>
      </c>
      <c r="F88" s="231">
        <f t="shared" si="25"/>
        <v>0</v>
      </c>
      <c r="G88" s="208">
        <f t="shared" si="25"/>
        <v>7.7790742901594711E-4</v>
      </c>
      <c r="H88" s="231">
        <f t="shared" si="25"/>
        <v>1.5429453111606378E-3</v>
      </c>
      <c r="I88" s="208">
        <f t="shared" si="25"/>
        <v>0</v>
      </c>
    </row>
    <row r="89" spans="2:9" x14ac:dyDescent="0.25">
      <c r="B89" s="44" t="s">
        <v>19</v>
      </c>
      <c r="C89" s="232">
        <f t="shared" si="10"/>
        <v>0</v>
      </c>
      <c r="D89" s="233">
        <f t="shared" ref="D89:I89" si="26">+D19/D$3</f>
        <v>0</v>
      </c>
      <c r="E89" s="232">
        <f t="shared" si="26"/>
        <v>0</v>
      </c>
      <c r="F89" s="234">
        <f t="shared" si="26"/>
        <v>-9.3663772371718604E-4</v>
      </c>
      <c r="G89" s="232">
        <f t="shared" si="26"/>
        <v>0</v>
      </c>
      <c r="H89" s="233">
        <f t="shared" si="26"/>
        <v>0</v>
      </c>
      <c r="I89" s="232">
        <f t="shared" si="26"/>
        <v>0</v>
      </c>
    </row>
    <row r="90" spans="2:9" x14ac:dyDescent="0.25">
      <c r="B90" s="13" t="s">
        <v>20</v>
      </c>
      <c r="C90" s="209">
        <f t="shared" si="10"/>
        <v>0</v>
      </c>
      <c r="D90" s="214">
        <f t="shared" ref="D90:I90" si="27">+D20/D$3</f>
        <v>0</v>
      </c>
      <c r="E90" s="209">
        <f t="shared" si="27"/>
        <v>0</v>
      </c>
      <c r="F90" s="214">
        <f t="shared" si="27"/>
        <v>2.0606029921778094E-4</v>
      </c>
      <c r="G90" s="209">
        <f t="shared" si="27"/>
        <v>-1.7113963438350837E-4</v>
      </c>
      <c r="H90" s="214">
        <f t="shared" si="27"/>
        <v>-3.3944796845534033E-4</v>
      </c>
      <c r="I90" s="209">
        <f t="shared" si="27"/>
        <v>0</v>
      </c>
    </row>
    <row r="91" spans="2:9" x14ac:dyDescent="0.25">
      <c r="B91" s="39" t="s">
        <v>21</v>
      </c>
      <c r="C91" s="421">
        <f t="shared" si="10"/>
        <v>1.6708798322954559E-2</v>
      </c>
      <c r="D91" s="235">
        <f t="shared" ref="D91:I91" si="28">+D21/D$3</f>
        <v>1.3454723558731166E-2</v>
      </c>
      <c r="E91" s="229">
        <f t="shared" si="28"/>
        <v>1.4431864684217706E-2</v>
      </c>
      <c r="F91" s="230">
        <f t="shared" si="28"/>
        <v>1.4960889046401539E-2</v>
      </c>
      <c r="G91" s="229">
        <f t="shared" si="28"/>
        <v>1.8475301439128743E-2</v>
      </c>
      <c r="H91" s="230">
        <f t="shared" si="28"/>
        <v>1.8172466998114176E-2</v>
      </c>
      <c r="I91" s="229">
        <f t="shared" si="28"/>
        <v>1.6082025788410802E-2</v>
      </c>
    </row>
    <row r="145" spans="3:9" x14ac:dyDescent="0.25">
      <c r="C145" s="254"/>
      <c r="D145" s="254"/>
      <c r="E145" s="254"/>
      <c r="F145" s="254"/>
      <c r="G145" s="254"/>
      <c r="H145" s="254"/>
      <c r="I145" s="254"/>
    </row>
  </sheetData>
  <mergeCells count="7">
    <mergeCell ref="I24:I25"/>
    <mergeCell ref="C24:C25"/>
    <mergeCell ref="D24:D25"/>
    <mergeCell ref="E24:E25"/>
    <mergeCell ref="F24:F25"/>
    <mergeCell ref="G24:G25"/>
    <mergeCell ref="H24:H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CC577-9D37-45FA-A75F-1BDC0DD8092B}">
  <dimension ref="B1:I87"/>
  <sheetViews>
    <sheetView tabSelected="1" topLeftCell="A66" zoomScale="120" zoomScaleNormal="120" workbookViewId="0">
      <selection activeCell="K73" sqref="K73"/>
    </sheetView>
  </sheetViews>
  <sheetFormatPr baseColWidth="10" defaultRowHeight="14.4" x14ac:dyDescent="0.3"/>
  <cols>
    <col min="1" max="1" width="3.33203125" customWidth="1"/>
    <col min="2" max="2" width="37" bestFit="1" customWidth="1"/>
  </cols>
  <sheetData>
    <row r="1" spans="2:9" ht="17.399999999999999" x14ac:dyDescent="0.3">
      <c r="B1" s="1" t="s">
        <v>86</v>
      </c>
    </row>
    <row r="2" spans="2:9" x14ac:dyDescent="0.3">
      <c r="B2" s="98" t="s">
        <v>1</v>
      </c>
      <c r="C2" s="100">
        <v>2017</v>
      </c>
      <c r="D2" s="99">
        <v>2018</v>
      </c>
      <c r="E2" s="100">
        <v>2019</v>
      </c>
      <c r="F2" s="99">
        <v>2020</v>
      </c>
      <c r="G2" s="100">
        <v>2021</v>
      </c>
      <c r="H2" s="148">
        <v>2022</v>
      </c>
    </row>
    <row r="3" spans="2:9" x14ac:dyDescent="0.3">
      <c r="B3" s="82" t="s">
        <v>3</v>
      </c>
      <c r="C3" s="102">
        <v>60654.306419599998</v>
      </c>
      <c r="D3" s="101">
        <v>65773.301630400005</v>
      </c>
      <c r="E3" s="102">
        <v>69366.969788999995</v>
      </c>
      <c r="F3" s="101">
        <v>88771.787412999998</v>
      </c>
      <c r="G3" s="102">
        <v>84381.592075499997</v>
      </c>
      <c r="H3" s="149">
        <v>91930.114093800003</v>
      </c>
    </row>
    <row r="4" spans="2:9" x14ac:dyDescent="0.3">
      <c r="B4" s="103" t="s">
        <v>73</v>
      </c>
      <c r="C4" s="105">
        <v>210.34612439999995</v>
      </c>
      <c r="D4" s="104">
        <v>283.86953319999998</v>
      </c>
      <c r="E4" s="105">
        <v>237.51449099999996</v>
      </c>
      <c r="F4" s="104">
        <v>153.54805399999998</v>
      </c>
      <c r="G4" s="105">
        <v>1285.1781374999996</v>
      </c>
      <c r="H4" s="150">
        <v>582.26301000000001</v>
      </c>
    </row>
    <row r="5" spans="2:9" x14ac:dyDescent="0.3">
      <c r="B5" s="81" t="s">
        <v>74</v>
      </c>
      <c r="C5" s="107">
        <v>60864.652543999997</v>
      </c>
      <c r="D5" s="106">
        <v>66057.171163600011</v>
      </c>
      <c r="E5" s="107">
        <v>69604.48427999999</v>
      </c>
      <c r="F5" s="106">
        <v>88925.335466999997</v>
      </c>
      <c r="G5" s="107">
        <v>85666.770212999996</v>
      </c>
      <c r="H5" s="151">
        <v>92512.377103799998</v>
      </c>
      <c r="I5" s="211">
        <f>+C7/C5</f>
        <v>0.39783137530104873</v>
      </c>
    </row>
    <row r="6" spans="2:9" x14ac:dyDescent="0.3">
      <c r="B6" s="103" t="s">
        <v>75</v>
      </c>
      <c r="C6" s="105">
        <v>-36650.784115200004</v>
      </c>
      <c r="D6" s="104">
        <v>-40271.1097888</v>
      </c>
      <c r="E6" s="105">
        <v>-42862.272792600001</v>
      </c>
      <c r="F6" s="104">
        <v>-53119.273000999994</v>
      </c>
      <c r="G6" s="105">
        <v>-45766.093536500004</v>
      </c>
      <c r="H6" s="150">
        <v>-49813.128233800002</v>
      </c>
    </row>
    <row r="7" spans="2:9" x14ac:dyDescent="0.3">
      <c r="B7" s="81" t="s">
        <v>5</v>
      </c>
      <c r="C7" s="107">
        <v>24213.868428799993</v>
      </c>
      <c r="D7" s="106">
        <v>25786.061374800011</v>
      </c>
      <c r="E7" s="107">
        <v>26742.211487399989</v>
      </c>
      <c r="F7" s="106">
        <v>35806.062466000003</v>
      </c>
      <c r="G7" s="107">
        <v>39900.676676499992</v>
      </c>
      <c r="H7" s="151">
        <v>42699.248869999996</v>
      </c>
    </row>
    <row r="8" spans="2:9" x14ac:dyDescent="0.3">
      <c r="B8" s="86" t="s">
        <v>76</v>
      </c>
      <c r="C8" s="109">
        <v>-16019.408462799996</v>
      </c>
      <c r="D8" s="108">
        <v>-17190.291172500001</v>
      </c>
      <c r="E8" s="109">
        <v>-18274.4910418</v>
      </c>
      <c r="F8" s="108">
        <v>-24724.667398499998</v>
      </c>
      <c r="G8" s="109">
        <v>-25551.244364499998</v>
      </c>
      <c r="H8" s="152">
        <v>-28433.604939600002</v>
      </c>
    </row>
    <row r="9" spans="2:9" x14ac:dyDescent="0.3">
      <c r="B9" s="110" t="s">
        <v>77</v>
      </c>
      <c r="C9" s="112">
        <v>-4375.4517035999997</v>
      </c>
      <c r="D9" s="111">
        <v>-4657.9101719999999</v>
      </c>
      <c r="E9" s="112">
        <v>-4094.3347254</v>
      </c>
      <c r="F9" s="111">
        <v>-5177.9748774999989</v>
      </c>
      <c r="G9" s="112">
        <v>-5887.1678079999992</v>
      </c>
      <c r="H9" s="153">
        <v>-6801.8935799999999</v>
      </c>
    </row>
    <row r="10" spans="2:9" x14ac:dyDescent="0.3">
      <c r="B10" s="113" t="s">
        <v>8</v>
      </c>
      <c r="C10" s="115">
        <v>3819.008262399997</v>
      </c>
      <c r="D10" s="114">
        <v>3937.8600303000094</v>
      </c>
      <c r="E10" s="115">
        <v>4373.385720199989</v>
      </c>
      <c r="F10" s="114">
        <v>5903.4201900000062</v>
      </c>
      <c r="G10" s="115">
        <v>8462.2645039999952</v>
      </c>
      <c r="H10" s="154">
        <v>7463.7503503999942</v>
      </c>
    </row>
    <row r="11" spans="2:9" x14ac:dyDescent="0.3">
      <c r="B11" s="110" t="s">
        <v>78</v>
      </c>
      <c r="C11" s="112">
        <v>-931.74641440000005</v>
      </c>
      <c r="D11" s="111">
        <v>-934.65128340000001</v>
      </c>
      <c r="E11" s="112">
        <v>-1715.4401737999997</v>
      </c>
      <c r="F11" s="111">
        <v>-2573.3853045000001</v>
      </c>
      <c r="G11" s="112">
        <v>-2506.8439954999999</v>
      </c>
      <c r="H11" s="153">
        <v>-2603.2063571999997</v>
      </c>
    </row>
    <row r="12" spans="2:9" x14ac:dyDescent="0.3">
      <c r="B12" s="116" t="s">
        <v>10</v>
      </c>
      <c r="C12" s="115">
        <v>2887.2618479999969</v>
      </c>
      <c r="D12" s="114">
        <v>3003.2087469000094</v>
      </c>
      <c r="E12" s="115">
        <v>2657.9455463999893</v>
      </c>
      <c r="F12" s="114">
        <v>3330.0348855000061</v>
      </c>
      <c r="G12" s="115">
        <v>5955.4205084999958</v>
      </c>
      <c r="H12" s="154">
        <v>4860.5439931999945</v>
      </c>
    </row>
    <row r="13" spans="2:9" x14ac:dyDescent="0.3">
      <c r="B13" s="83" t="s">
        <v>79</v>
      </c>
      <c r="C13" s="112">
        <v>-639.08951876800006</v>
      </c>
      <c r="D13" s="111">
        <v>-644.12540391799996</v>
      </c>
      <c r="E13" s="112">
        <v>-553.13977772399994</v>
      </c>
      <c r="F13" s="111">
        <v>-747.23353886999985</v>
      </c>
      <c r="G13" s="112">
        <v>-1135.37074577</v>
      </c>
      <c r="H13" s="153">
        <v>-1070.864411388</v>
      </c>
    </row>
    <row r="14" spans="2:9" x14ac:dyDescent="0.3">
      <c r="B14" s="87" t="s">
        <v>80</v>
      </c>
      <c r="C14" s="118">
        <v>2248.1723292319966</v>
      </c>
      <c r="D14" s="117">
        <v>2359.0833429820095</v>
      </c>
      <c r="E14" s="118">
        <v>2104.8057686759894</v>
      </c>
      <c r="F14" s="117">
        <v>2582.8013466300063</v>
      </c>
      <c r="G14" s="118">
        <v>4820.0497627299956</v>
      </c>
      <c r="H14" s="155">
        <v>3789.6795818119945</v>
      </c>
    </row>
    <row r="15" spans="2:9" x14ac:dyDescent="0.3">
      <c r="B15" s="119" t="s">
        <v>13</v>
      </c>
      <c r="C15" s="121">
        <v>22.4717652</v>
      </c>
      <c r="D15" s="120">
        <v>34.606897899999993</v>
      </c>
      <c r="E15" s="121">
        <v>55.566295599999997</v>
      </c>
      <c r="F15" s="120">
        <v>52.511198</v>
      </c>
      <c r="G15" s="121">
        <v>54.2296415</v>
      </c>
      <c r="H15" s="156">
        <v>147.56363389999999</v>
      </c>
    </row>
    <row r="16" spans="2:9" x14ac:dyDescent="0.3">
      <c r="B16" s="86" t="s">
        <v>81</v>
      </c>
      <c r="C16" s="105">
        <v>-199.36539959999999</v>
      </c>
      <c r="D16" s="104">
        <v>-157.54704980000002</v>
      </c>
      <c r="E16" s="105">
        <v>-451.03001979999993</v>
      </c>
      <c r="F16" s="104">
        <v>-515.16708149999999</v>
      </c>
      <c r="G16" s="105">
        <v>-557.5973449999999</v>
      </c>
      <c r="H16" s="150">
        <v>-692.05881429999999</v>
      </c>
    </row>
    <row r="17" spans="2:8" x14ac:dyDescent="0.3">
      <c r="B17" s="81" t="s">
        <v>82</v>
      </c>
      <c r="C17" s="107">
        <v>-176.8936344</v>
      </c>
      <c r="D17" s="106">
        <v>-122.94015190000003</v>
      </c>
      <c r="E17" s="107">
        <v>-395.46372419999994</v>
      </c>
      <c r="F17" s="106">
        <v>-462.65588350000002</v>
      </c>
      <c r="G17" s="107">
        <v>-503.36770349999989</v>
      </c>
      <c r="H17" s="151">
        <v>-544.49518039999998</v>
      </c>
    </row>
    <row r="18" spans="2:8" x14ac:dyDescent="0.3">
      <c r="B18" s="103" t="s">
        <v>83</v>
      </c>
      <c r="C18" s="123">
        <v>38.916599568000002</v>
      </c>
      <c r="D18" s="122">
        <v>27.046833418000006</v>
      </c>
      <c r="E18" s="123">
        <v>87.002019323999988</v>
      </c>
      <c r="F18" s="122">
        <v>101.78429437</v>
      </c>
      <c r="G18" s="123">
        <v>110.74089476999998</v>
      </c>
      <c r="H18" s="157">
        <v>119.788939688</v>
      </c>
    </row>
    <row r="19" spans="2:8" x14ac:dyDescent="0.3">
      <c r="B19" s="84" t="s">
        <v>84</v>
      </c>
      <c r="C19" s="125">
        <v>-137.97703483199999</v>
      </c>
      <c r="D19" s="124">
        <v>-95.893318482000026</v>
      </c>
      <c r="E19" s="125">
        <v>-308.46170487599994</v>
      </c>
      <c r="F19" s="124">
        <v>-360.87158913000002</v>
      </c>
      <c r="G19" s="125">
        <v>-392.62680872999988</v>
      </c>
      <c r="H19" s="158">
        <v>-424.70624071199995</v>
      </c>
    </row>
    <row r="20" spans="2:8" x14ac:dyDescent="0.3">
      <c r="B20" s="87" t="s">
        <v>85</v>
      </c>
      <c r="C20" s="118">
        <v>2110.1952943999968</v>
      </c>
      <c r="D20" s="117">
        <v>2263.1900245000097</v>
      </c>
      <c r="E20" s="118">
        <v>1796.3440637999895</v>
      </c>
      <c r="F20" s="117">
        <v>2221.9297575000064</v>
      </c>
      <c r="G20" s="118">
        <v>4427.422953999996</v>
      </c>
      <c r="H20" s="155">
        <v>3364.9733410999943</v>
      </c>
    </row>
    <row r="22" spans="2:8" ht="17.399999999999999" x14ac:dyDescent="0.3">
      <c r="B22" s="1" t="s">
        <v>87</v>
      </c>
      <c r="C22" s="2"/>
      <c r="D22" s="2"/>
      <c r="E22" s="2"/>
      <c r="F22" s="2"/>
      <c r="G22" s="2"/>
      <c r="H22" s="2"/>
    </row>
    <row r="23" spans="2:8" x14ac:dyDescent="0.3">
      <c r="B23" s="126" t="s">
        <v>88</v>
      </c>
      <c r="C23" s="440">
        <v>43100</v>
      </c>
      <c r="D23" s="440">
        <v>43465</v>
      </c>
      <c r="E23" s="440">
        <v>43830</v>
      </c>
      <c r="F23" s="440">
        <v>44196</v>
      </c>
      <c r="G23" s="440">
        <v>44561</v>
      </c>
      <c r="H23" s="440">
        <v>44926</v>
      </c>
    </row>
    <row r="24" spans="2:8" x14ac:dyDescent="0.3">
      <c r="B24" s="145" t="s">
        <v>1</v>
      </c>
      <c r="C24" s="441"/>
      <c r="D24" s="441"/>
      <c r="E24" s="441"/>
      <c r="F24" s="441"/>
      <c r="G24" s="441"/>
      <c r="H24" s="441"/>
    </row>
    <row r="25" spans="2:8" x14ac:dyDescent="0.3">
      <c r="B25" s="126" t="s">
        <v>89</v>
      </c>
      <c r="C25" s="127"/>
      <c r="D25" s="127"/>
      <c r="E25" s="128"/>
      <c r="F25" s="127"/>
      <c r="G25" s="128"/>
      <c r="H25" s="127"/>
    </row>
    <row r="26" spans="2:8" x14ac:dyDescent="0.3">
      <c r="B26" s="7" t="s">
        <v>28</v>
      </c>
      <c r="C26" s="129">
        <v>12310.5075368</v>
      </c>
      <c r="D26" s="129">
        <v>12940.022729100001</v>
      </c>
      <c r="E26" s="130">
        <v>28240.096829599996</v>
      </c>
      <c r="F26" s="129">
        <v>34103.376871</v>
      </c>
      <c r="G26" s="130">
        <v>34288.724264500001</v>
      </c>
      <c r="H26" s="129">
        <v>35361.843686199994</v>
      </c>
    </row>
    <row r="27" spans="2:8" x14ac:dyDescent="0.3">
      <c r="B27" s="3" t="s">
        <v>29</v>
      </c>
      <c r="C27" s="89">
        <v>1493.0623259999998</v>
      </c>
      <c r="D27" s="89">
        <v>1465.2634496000001</v>
      </c>
      <c r="E27" s="88">
        <v>5286.1092390000003</v>
      </c>
      <c r="F27" s="89">
        <v>5472.2289295</v>
      </c>
      <c r="G27" s="88">
        <v>5844.2777554999993</v>
      </c>
      <c r="H27" s="89">
        <v>5803.8019238000006</v>
      </c>
    </row>
    <row r="28" spans="2:8" x14ac:dyDescent="0.3">
      <c r="B28" s="7" t="s">
        <v>90</v>
      </c>
      <c r="C28" s="129">
        <v>1694.9242168000001</v>
      </c>
      <c r="D28" s="129">
        <v>1587.0192222999999</v>
      </c>
      <c r="E28" s="130">
        <v>1708.8185558</v>
      </c>
      <c r="F28" s="129">
        <v>1758.3262695000001</v>
      </c>
      <c r="G28" s="130">
        <v>1525.7095115</v>
      </c>
      <c r="H28" s="129">
        <v>1750.7857042000001</v>
      </c>
    </row>
    <row r="29" spans="2:8" x14ac:dyDescent="0.3">
      <c r="B29" s="3" t="s">
        <v>27</v>
      </c>
      <c r="C29" s="89">
        <v>746.69099080000001</v>
      </c>
      <c r="D29" s="89">
        <v>643.59403550000002</v>
      </c>
      <c r="E29" s="88">
        <v>890.3999227999999</v>
      </c>
      <c r="F29" s="89">
        <v>699.23290850000001</v>
      </c>
      <c r="G29" s="88">
        <v>577.16087349999998</v>
      </c>
      <c r="H29" s="89">
        <v>552.54579209999997</v>
      </c>
    </row>
    <row r="30" spans="2:8" x14ac:dyDescent="0.3">
      <c r="B30" s="7" t="s">
        <v>30</v>
      </c>
      <c r="C30" s="129">
        <v>176.4762576</v>
      </c>
      <c r="D30" s="129">
        <v>176.16088109999998</v>
      </c>
      <c r="E30" s="130">
        <v>249.43296559999999</v>
      </c>
      <c r="F30" s="129">
        <v>231.45847199999997</v>
      </c>
      <c r="G30" s="130">
        <v>166.81295999999998</v>
      </c>
      <c r="H30" s="129">
        <v>149.29595999999998</v>
      </c>
    </row>
    <row r="31" spans="2:8" x14ac:dyDescent="0.3">
      <c r="B31" s="3" t="s">
        <v>31</v>
      </c>
      <c r="C31" s="89">
        <v>102.6864156</v>
      </c>
      <c r="D31" s="89">
        <v>184.70101539999999</v>
      </c>
      <c r="E31" s="88">
        <v>536.98723239999993</v>
      </c>
      <c r="F31" s="89">
        <v>363.08044050000001</v>
      </c>
      <c r="G31" s="88">
        <v>468.20101749999998</v>
      </c>
      <c r="H31" s="89">
        <v>359.8896858</v>
      </c>
    </row>
    <row r="32" spans="2:8" x14ac:dyDescent="0.3">
      <c r="B32" s="7" t="s">
        <v>91</v>
      </c>
      <c r="C32" s="129">
        <v>91.010940000000005</v>
      </c>
      <c r="D32" s="129">
        <v>72.662499999999994</v>
      </c>
      <c r="E32" s="130">
        <v>8.0257000000000005</v>
      </c>
      <c r="F32" s="129">
        <v>8.6610499999999995</v>
      </c>
      <c r="G32" s="130">
        <v>168.27190999999999</v>
      </c>
      <c r="H32" s="129">
        <v>223.1601</v>
      </c>
    </row>
    <row r="33" spans="2:8" x14ac:dyDescent="0.3">
      <c r="B33" s="3" t="s">
        <v>32</v>
      </c>
      <c r="C33" s="89">
        <v>986.64167999999995</v>
      </c>
      <c r="D33" s="89">
        <v>1281.77557</v>
      </c>
      <c r="E33" s="88">
        <v>1305.24594</v>
      </c>
      <c r="F33" s="89">
        <v>1908.18742</v>
      </c>
      <c r="G33" s="88">
        <v>2568.9442600000002</v>
      </c>
      <c r="H33" s="89">
        <v>2189.8883800000003</v>
      </c>
    </row>
    <row r="34" spans="2:8" x14ac:dyDescent="0.3">
      <c r="B34" s="7" t="s">
        <v>92</v>
      </c>
      <c r="C34" s="129">
        <v>13959.847609199998</v>
      </c>
      <c r="D34" s="129">
        <v>13862.955728299999</v>
      </c>
      <c r="E34" s="130">
        <v>14120.263997400001</v>
      </c>
      <c r="F34" s="129">
        <v>16186.832919</v>
      </c>
      <c r="G34" s="130">
        <v>16566.521694499999</v>
      </c>
      <c r="H34" s="129">
        <v>18710.892268099997</v>
      </c>
    </row>
    <row r="35" spans="2:8" x14ac:dyDescent="0.3">
      <c r="B35" s="3" t="s">
        <v>93</v>
      </c>
      <c r="C35" s="89">
        <v>94.607009999999974</v>
      </c>
      <c r="D35" s="89">
        <v>113.07384999999999</v>
      </c>
      <c r="E35" s="88">
        <v>163.83155999999997</v>
      </c>
      <c r="F35" s="89">
        <v>126.45368999999999</v>
      </c>
      <c r="G35" s="88">
        <v>123.17869</v>
      </c>
      <c r="H35" s="89">
        <v>249.32541000000003</v>
      </c>
    </row>
    <row r="36" spans="2:8" x14ac:dyDescent="0.3">
      <c r="B36" s="7" t="s">
        <v>94</v>
      </c>
      <c r="C36" s="131">
        <v>232.29504479999997</v>
      </c>
      <c r="D36" s="131">
        <v>303.04371840000005</v>
      </c>
      <c r="E36" s="132">
        <v>428.6016004</v>
      </c>
      <c r="F36" s="131">
        <v>582.17804149999995</v>
      </c>
      <c r="G36" s="132">
        <v>660.15845850000005</v>
      </c>
      <c r="H36" s="131">
        <v>631.13994330000003</v>
      </c>
    </row>
    <row r="37" spans="2:8" x14ac:dyDescent="0.3">
      <c r="B37" s="146" t="s">
        <v>35</v>
      </c>
      <c r="C37" s="93">
        <v>31888.750027599999</v>
      </c>
      <c r="D37" s="93">
        <v>32630.272699699999</v>
      </c>
      <c r="E37" s="92">
        <v>52937.813542999989</v>
      </c>
      <c r="F37" s="93">
        <v>61440.017011500015</v>
      </c>
      <c r="G37" s="92">
        <v>62957.961395500002</v>
      </c>
      <c r="H37" s="93">
        <v>65982.568853499994</v>
      </c>
    </row>
    <row r="38" spans="2:8" x14ac:dyDescent="0.3">
      <c r="B38" s="133" t="s">
        <v>95</v>
      </c>
      <c r="C38" s="134"/>
      <c r="D38" s="134"/>
      <c r="E38" s="135"/>
      <c r="F38" s="134"/>
      <c r="G38" s="135"/>
      <c r="H38" s="134"/>
    </row>
    <row r="39" spans="2:8" x14ac:dyDescent="0.3">
      <c r="B39" s="7" t="s">
        <v>96</v>
      </c>
      <c r="C39" s="129">
        <v>878.98745959999997</v>
      </c>
      <c r="D39" s="129">
        <v>884.21635700000002</v>
      </c>
      <c r="E39" s="130">
        <v>746.65546800000004</v>
      </c>
      <c r="F39" s="129">
        <v>719.75883049999993</v>
      </c>
      <c r="G39" s="130">
        <v>706.94816549999996</v>
      </c>
      <c r="H39" s="129">
        <v>670.01429110000004</v>
      </c>
    </row>
    <row r="40" spans="2:8" x14ac:dyDescent="0.3">
      <c r="B40" s="3" t="s">
        <v>38</v>
      </c>
      <c r="C40" s="89">
        <v>12021.2485172</v>
      </c>
      <c r="D40" s="89">
        <v>12281.462779400001</v>
      </c>
      <c r="E40" s="88">
        <v>14771.097479</v>
      </c>
      <c r="F40" s="89">
        <v>17256.249111500001</v>
      </c>
      <c r="G40" s="88">
        <v>17300.334880999999</v>
      </c>
      <c r="H40" s="89">
        <v>17866.4392878</v>
      </c>
    </row>
    <row r="41" spans="2:8" x14ac:dyDescent="0.3">
      <c r="B41" s="7" t="s">
        <v>39</v>
      </c>
      <c r="C41" s="129">
        <v>261.1019392</v>
      </c>
      <c r="D41" s="129">
        <v>388.78657810000004</v>
      </c>
      <c r="E41" s="130">
        <v>381.20528239999999</v>
      </c>
      <c r="F41" s="129">
        <v>331.16175249999998</v>
      </c>
      <c r="G41" s="130">
        <v>584.33755450000001</v>
      </c>
      <c r="H41" s="129">
        <v>710.2527007000001</v>
      </c>
    </row>
    <row r="42" spans="2:8" x14ac:dyDescent="0.3">
      <c r="B42" s="3" t="s">
        <v>40</v>
      </c>
      <c r="C42" s="89">
        <v>359.35509000000002</v>
      </c>
      <c r="D42" s="89">
        <v>320.61741999999998</v>
      </c>
      <c r="E42" s="88">
        <v>291.65844000000004</v>
      </c>
      <c r="F42" s="89">
        <v>664.99358000000007</v>
      </c>
      <c r="G42" s="88">
        <v>223.56008</v>
      </c>
      <c r="H42" s="89">
        <v>251.38076000000001</v>
      </c>
    </row>
    <row r="43" spans="2:8" x14ac:dyDescent="0.3">
      <c r="B43" s="7" t="s">
        <v>41</v>
      </c>
      <c r="C43" s="131">
        <v>4100.2059556000004</v>
      </c>
      <c r="D43" s="131">
        <v>4173.0692983999998</v>
      </c>
      <c r="E43" s="132">
        <v>4152.4711862000004</v>
      </c>
      <c r="F43" s="131">
        <v>5522.0481849999996</v>
      </c>
      <c r="G43" s="132">
        <v>5601.5437185000001</v>
      </c>
      <c r="H43" s="131">
        <v>5495.4075309999998</v>
      </c>
    </row>
    <row r="44" spans="2:8" x14ac:dyDescent="0.3">
      <c r="B44" s="146" t="s">
        <v>42</v>
      </c>
      <c r="C44" s="93">
        <v>17620.898961599996</v>
      </c>
      <c r="D44" s="93">
        <v>18048.152432900002</v>
      </c>
      <c r="E44" s="92">
        <v>20343.087855600003</v>
      </c>
      <c r="F44" s="93">
        <v>24494.211459499998</v>
      </c>
      <c r="G44" s="92">
        <v>24416.724399500003</v>
      </c>
      <c r="H44" s="93">
        <v>24993.4945706</v>
      </c>
    </row>
    <row r="45" spans="2:8" x14ac:dyDescent="0.3">
      <c r="B45" s="147" t="s">
        <v>97</v>
      </c>
      <c r="C45" s="97">
        <v>14267.851066000003</v>
      </c>
      <c r="D45" s="97">
        <v>14582.120266800001</v>
      </c>
      <c r="E45" s="96">
        <v>32594.725687399987</v>
      </c>
      <c r="F45" s="97">
        <v>36945.80555200002</v>
      </c>
      <c r="G45" s="96">
        <v>38541.236996</v>
      </c>
      <c r="H45" s="97">
        <v>40989.074282899994</v>
      </c>
    </row>
    <row r="46" spans="2:8" x14ac:dyDescent="0.3">
      <c r="B46" s="136" t="s">
        <v>98</v>
      </c>
      <c r="C46" s="134"/>
      <c r="D46" s="134"/>
      <c r="E46" s="135"/>
      <c r="F46" s="134"/>
      <c r="G46" s="135"/>
      <c r="H46" s="134"/>
    </row>
    <row r="47" spans="2:8" x14ac:dyDescent="0.3">
      <c r="B47" s="7" t="s">
        <v>45</v>
      </c>
      <c r="C47" s="95">
        <v>2904.7528239999997</v>
      </c>
      <c r="D47" s="95">
        <v>3638.4921293000002</v>
      </c>
      <c r="E47" s="94">
        <v>3640.1929335999998</v>
      </c>
      <c r="F47" s="95">
        <v>6168.8172754999996</v>
      </c>
      <c r="G47" s="94">
        <v>8126.4861820000006</v>
      </c>
      <c r="H47" s="95">
        <v>8137.1305034000006</v>
      </c>
    </row>
    <row r="48" spans="2:8" x14ac:dyDescent="0.3">
      <c r="B48" s="3" t="s">
        <v>46</v>
      </c>
      <c r="C48" s="89">
        <v>1584.6723480000001</v>
      </c>
      <c r="D48" s="89">
        <v>1567.7553108</v>
      </c>
      <c r="E48" s="88">
        <v>13235.0791544</v>
      </c>
      <c r="F48" s="89">
        <v>14245.965728499999</v>
      </c>
      <c r="G48" s="88">
        <v>13644.275284000001</v>
      </c>
      <c r="H48" s="89">
        <v>14484.422753999999</v>
      </c>
    </row>
    <row r="49" spans="2:8" x14ac:dyDescent="0.3">
      <c r="B49" s="7" t="s">
        <v>47</v>
      </c>
      <c r="C49" s="91">
        <v>6163.2524872000004</v>
      </c>
      <c r="D49" s="91">
        <v>6291.6531187999999</v>
      </c>
      <c r="E49" s="90">
        <v>6331.2727236000001</v>
      </c>
      <c r="F49" s="91">
        <v>6489.1113949999999</v>
      </c>
      <c r="G49" s="90">
        <v>8676.3865834999997</v>
      </c>
      <c r="H49" s="91">
        <v>8260.5275116000012</v>
      </c>
    </row>
    <row r="50" spans="2:8" x14ac:dyDescent="0.3">
      <c r="B50" s="146" t="s">
        <v>48</v>
      </c>
      <c r="C50" s="93">
        <v>10652.677659199999</v>
      </c>
      <c r="D50" s="93">
        <v>11497.900558900001</v>
      </c>
      <c r="E50" s="92">
        <v>23206.544811600001</v>
      </c>
      <c r="F50" s="93">
        <v>26903.894398999997</v>
      </c>
      <c r="G50" s="92">
        <v>30447.148049500003</v>
      </c>
      <c r="H50" s="93">
        <v>30882.080769</v>
      </c>
    </row>
    <row r="51" spans="2:8" x14ac:dyDescent="0.3">
      <c r="B51" s="136" t="s">
        <v>99</v>
      </c>
      <c r="C51" s="134"/>
      <c r="D51" s="134"/>
      <c r="E51" s="135"/>
      <c r="F51" s="134"/>
      <c r="G51" s="135"/>
      <c r="H51" s="134"/>
    </row>
    <row r="52" spans="2:8" x14ac:dyDescent="0.3">
      <c r="B52" s="7" t="s">
        <v>50</v>
      </c>
      <c r="C52" s="95">
        <v>3167.6318231999999</v>
      </c>
      <c r="D52" s="95">
        <v>4425.6628213000004</v>
      </c>
      <c r="E52" s="94">
        <v>11918.476869399999</v>
      </c>
      <c r="F52" s="95">
        <v>18102.78383</v>
      </c>
      <c r="G52" s="94">
        <v>15505.347927000001</v>
      </c>
      <c r="H52" s="95">
        <v>15827.1290071</v>
      </c>
    </row>
    <row r="53" spans="2:8" x14ac:dyDescent="0.3">
      <c r="B53" s="3" t="s">
        <v>53</v>
      </c>
      <c r="C53" s="89">
        <v>409.95467079999997</v>
      </c>
      <c r="D53" s="89">
        <v>194.53153</v>
      </c>
      <c r="E53" s="88">
        <v>901.13386239999988</v>
      </c>
      <c r="F53" s="89">
        <v>820.13048549999985</v>
      </c>
      <c r="G53" s="88">
        <v>1049.2153675</v>
      </c>
      <c r="H53" s="89">
        <v>873.3172057999999</v>
      </c>
    </row>
    <row r="54" spans="2:8" x14ac:dyDescent="0.3">
      <c r="B54" s="7" t="s">
        <v>54</v>
      </c>
      <c r="C54" s="91">
        <v>2343.2902483999997</v>
      </c>
      <c r="D54" s="91">
        <v>1439.8437775999998</v>
      </c>
      <c r="E54" s="90">
        <v>5844.7054757999995</v>
      </c>
      <c r="F54" s="91">
        <v>2140.1718955000001</v>
      </c>
      <c r="G54" s="90">
        <v>2087.8299484999998</v>
      </c>
      <c r="H54" s="91">
        <v>3403.0928331</v>
      </c>
    </row>
    <row r="55" spans="2:8" x14ac:dyDescent="0.3">
      <c r="B55" s="146" t="s">
        <v>100</v>
      </c>
      <c r="C55" s="137">
        <v>5920.8767423999998</v>
      </c>
      <c r="D55" s="137">
        <v>6060.0381289000006</v>
      </c>
      <c r="E55" s="138">
        <v>18664.316207600001</v>
      </c>
      <c r="F55" s="137">
        <v>21063.086210999998</v>
      </c>
      <c r="G55" s="138">
        <v>18642.393242999999</v>
      </c>
      <c r="H55" s="137">
        <v>20103.539045999998</v>
      </c>
    </row>
    <row r="56" spans="2:8" x14ac:dyDescent="0.3">
      <c r="B56" s="141" t="s">
        <v>59</v>
      </c>
      <c r="C56" s="139">
        <v>16573.554401599999</v>
      </c>
      <c r="D56" s="139">
        <v>17557.9386878</v>
      </c>
      <c r="E56" s="140">
        <v>41870.861019200005</v>
      </c>
      <c r="F56" s="139">
        <v>47966.980609999999</v>
      </c>
      <c r="G56" s="140">
        <v>49089.541292499998</v>
      </c>
      <c r="H56" s="139">
        <v>50985.619814999998</v>
      </c>
    </row>
    <row r="57" spans="2:8" x14ac:dyDescent="0.3">
      <c r="B57" s="133" t="s">
        <v>101</v>
      </c>
      <c r="C57" s="134"/>
      <c r="D57" s="134"/>
      <c r="E57" s="135"/>
      <c r="F57" s="134"/>
      <c r="G57" s="135"/>
      <c r="H57" s="134"/>
    </row>
    <row r="58" spans="2:8" x14ac:dyDescent="0.3">
      <c r="B58" s="7" t="s">
        <v>102</v>
      </c>
      <c r="C58" s="95">
        <v>1.5993599999999999</v>
      </c>
      <c r="D58" s="95">
        <v>93.552160000000001</v>
      </c>
      <c r="E58" s="94">
        <v>4522.8172790000008</v>
      </c>
      <c r="F58" s="95">
        <v>4507.9060934999998</v>
      </c>
      <c r="G58" s="94">
        <v>3871.5698735000001</v>
      </c>
      <c r="H58" s="95">
        <v>4442.3531861000001</v>
      </c>
    </row>
    <row r="59" spans="2:8" x14ac:dyDescent="0.3">
      <c r="B59" s="3" t="s">
        <v>64</v>
      </c>
      <c r="C59" s="89">
        <v>9.250112399999999</v>
      </c>
      <c r="D59" s="89">
        <v>10.240300099999999</v>
      </c>
      <c r="E59" s="88">
        <v>107.80906619999999</v>
      </c>
      <c r="F59" s="89">
        <v>146.42945200000003</v>
      </c>
      <c r="G59" s="88">
        <v>173.78348849999998</v>
      </c>
      <c r="H59" s="89">
        <v>166.44470099999998</v>
      </c>
    </row>
    <row r="60" spans="2:8" x14ac:dyDescent="0.3">
      <c r="B60" s="7" t="s">
        <v>65</v>
      </c>
      <c r="C60" s="95">
        <v>2277.1253532000001</v>
      </c>
      <c r="D60" s="95">
        <v>2863.1695009</v>
      </c>
      <c r="E60" s="94">
        <v>4344.7807424000002</v>
      </c>
      <c r="F60" s="95">
        <v>5835.8602325000002</v>
      </c>
      <c r="G60" s="94">
        <v>6164.2908244999999</v>
      </c>
      <c r="H60" s="95">
        <v>5065.1177502999999</v>
      </c>
    </row>
    <row r="61" spans="2:8" x14ac:dyDescent="0.3">
      <c r="B61" s="3" t="s">
        <v>103</v>
      </c>
      <c r="C61" s="89">
        <v>20.680599999999998</v>
      </c>
      <c r="D61" s="89">
        <v>9.9534699999999994</v>
      </c>
      <c r="E61" s="88">
        <v>301.90251999999998</v>
      </c>
      <c r="F61" s="89">
        <v>530.96545999999989</v>
      </c>
      <c r="G61" s="88">
        <v>339.70655999999997</v>
      </c>
      <c r="H61" s="89">
        <v>322.35880000000003</v>
      </c>
    </row>
    <row r="62" spans="2:8" x14ac:dyDescent="0.3">
      <c r="B62" s="141" t="s">
        <v>104</v>
      </c>
      <c r="C62" s="139">
        <v>2308.6554256000004</v>
      </c>
      <c r="D62" s="139">
        <v>2976.9154309999999</v>
      </c>
      <c r="E62" s="140">
        <v>9277.3096076000002</v>
      </c>
      <c r="F62" s="139">
        <v>11021.161238000001</v>
      </c>
      <c r="G62" s="140">
        <v>10549.3507465</v>
      </c>
      <c r="H62" s="139">
        <v>9996.2744374000013</v>
      </c>
    </row>
    <row r="63" spans="2:8" x14ac:dyDescent="0.3">
      <c r="B63" s="6" t="s">
        <v>105</v>
      </c>
      <c r="C63" s="142">
        <v>3612.2213167999994</v>
      </c>
      <c r="D63" s="142">
        <v>3083.1226979000007</v>
      </c>
      <c r="E63" s="143">
        <v>9387.0066000000006</v>
      </c>
      <c r="F63" s="142">
        <v>10041.924972999997</v>
      </c>
      <c r="G63" s="143">
        <v>8093.0424964999984</v>
      </c>
      <c r="H63" s="142">
        <v>10107.264608599997</v>
      </c>
    </row>
    <row r="64" spans="2:8" x14ac:dyDescent="0.3">
      <c r="B64" s="141" t="s">
        <v>43</v>
      </c>
      <c r="C64" s="139">
        <v>14264.898975999999</v>
      </c>
      <c r="D64" s="139">
        <v>14581.023256800001</v>
      </c>
      <c r="E64" s="140">
        <v>32593.551411600001</v>
      </c>
      <c r="F64" s="139">
        <v>36945.819371999998</v>
      </c>
      <c r="G64" s="140">
        <v>38540.190545999998</v>
      </c>
      <c r="H64" s="139">
        <v>40989.345377599995</v>
      </c>
    </row>
    <row r="65" spans="2:8" x14ac:dyDescent="0.3">
      <c r="C65" s="144"/>
      <c r="D65" s="144"/>
      <c r="E65" s="144"/>
      <c r="F65" s="144"/>
      <c r="G65" s="144"/>
      <c r="H65" s="144"/>
    </row>
    <row r="66" spans="2:8" x14ac:dyDescent="0.3">
      <c r="B66" s="2" t="s">
        <v>135</v>
      </c>
      <c r="C66" s="252"/>
      <c r="D66" s="252">
        <f>+C45*0.5+D45*0.5</f>
        <v>14424.985666400002</v>
      </c>
      <c r="E66" s="252">
        <f t="shared" ref="E66:H66" si="0">+D45*0.5+E45*0.5</f>
        <v>23588.422977099995</v>
      </c>
      <c r="F66" s="252">
        <f t="shared" si="0"/>
        <v>34770.265619700003</v>
      </c>
      <c r="G66" s="252">
        <f t="shared" si="0"/>
        <v>37743.521274000013</v>
      </c>
      <c r="H66" s="252">
        <f t="shared" si="0"/>
        <v>39765.155639449993</v>
      </c>
    </row>
    <row r="67" spans="2:8" x14ac:dyDescent="0.3">
      <c r="B67" s="2" t="s">
        <v>114</v>
      </c>
      <c r="C67" s="252"/>
      <c r="D67" s="253">
        <f>+D14/D66</f>
        <v>0.16354146877781672</v>
      </c>
      <c r="E67" s="253">
        <f t="shared" ref="E67:H67" si="1">+E14/E66</f>
        <v>8.9230457276409159E-2</v>
      </c>
      <c r="F67" s="253">
        <f t="shared" si="1"/>
        <v>7.4281898645222097E-2</v>
      </c>
      <c r="G67" s="253">
        <f t="shared" si="1"/>
        <v>0.12770535445643047</v>
      </c>
      <c r="H67" s="253">
        <f t="shared" si="1"/>
        <v>9.5301515129802492E-2</v>
      </c>
    </row>
    <row r="68" spans="2:8" ht="17.399999999999999" x14ac:dyDescent="0.3">
      <c r="B68" s="1" t="s">
        <v>86</v>
      </c>
    </row>
    <row r="69" spans="2:8" x14ac:dyDescent="0.3">
      <c r="B69" s="98" t="s">
        <v>1</v>
      </c>
      <c r="C69" s="100">
        <v>2017</v>
      </c>
      <c r="D69" s="99">
        <v>2018</v>
      </c>
      <c r="E69" s="100">
        <v>2019</v>
      </c>
      <c r="F69" s="99">
        <v>2020</v>
      </c>
      <c r="G69" s="100">
        <v>2021</v>
      </c>
      <c r="H69" s="148">
        <v>2022</v>
      </c>
    </row>
    <row r="70" spans="2:8" x14ac:dyDescent="0.3">
      <c r="B70" s="82" t="s">
        <v>3</v>
      </c>
      <c r="C70" s="212">
        <f>+C3/C$5</f>
        <v>0.99654403474581676</v>
      </c>
      <c r="D70" s="212">
        <f t="shared" ref="D70:H70" si="2">+D3/D$5</f>
        <v>0.99570266894268056</v>
      </c>
      <c r="E70" s="212">
        <f t="shared" si="2"/>
        <v>0.99658765532915183</v>
      </c>
      <c r="F70" s="212">
        <f t="shared" si="2"/>
        <v>0.99827329238407003</v>
      </c>
      <c r="G70" s="212">
        <f t="shared" si="2"/>
        <v>0.98499793870710239</v>
      </c>
      <c r="H70" s="212">
        <f t="shared" si="2"/>
        <v>0.99370610692073458</v>
      </c>
    </row>
    <row r="71" spans="2:8" x14ac:dyDescent="0.3">
      <c r="B71" s="103" t="s">
        <v>73</v>
      </c>
      <c r="C71" s="236">
        <f t="shared" ref="C71:H87" si="3">+C4/C$5</f>
        <v>3.455965254183247E-3</v>
      </c>
      <c r="D71" s="236">
        <f t="shared" si="3"/>
        <v>4.2973310573193721E-3</v>
      </c>
      <c r="E71" s="236">
        <f t="shared" si="3"/>
        <v>3.4123446708482674E-3</v>
      </c>
      <c r="F71" s="236">
        <f t="shared" si="3"/>
        <v>1.7267076159300106E-3</v>
      </c>
      <c r="G71" s="236">
        <f t="shared" si="3"/>
        <v>1.5002061292897592E-2</v>
      </c>
      <c r="H71" s="236">
        <f t="shared" si="3"/>
        <v>6.293893079265425E-3</v>
      </c>
    </row>
    <row r="72" spans="2:8" x14ac:dyDescent="0.3">
      <c r="B72" s="81" t="s">
        <v>74</v>
      </c>
      <c r="C72" s="215">
        <f t="shared" si="3"/>
        <v>1</v>
      </c>
      <c r="D72" s="215">
        <f t="shared" si="3"/>
        <v>1</v>
      </c>
      <c r="E72" s="215">
        <f t="shared" si="3"/>
        <v>1</v>
      </c>
      <c r="F72" s="215">
        <f t="shared" si="3"/>
        <v>1</v>
      </c>
      <c r="G72" s="215">
        <f t="shared" si="3"/>
        <v>1</v>
      </c>
      <c r="H72" s="215">
        <f t="shared" si="3"/>
        <v>1</v>
      </c>
    </row>
    <row r="73" spans="2:8" x14ac:dyDescent="0.3">
      <c r="B73" s="103" t="s">
        <v>75</v>
      </c>
      <c r="C73" s="236">
        <f t="shared" si="3"/>
        <v>-0.60216862469895127</v>
      </c>
      <c r="D73" s="236">
        <f t="shared" si="3"/>
        <v>-0.60964024161832253</v>
      </c>
      <c r="E73" s="236">
        <f t="shared" si="3"/>
        <v>-0.61579757735402052</v>
      </c>
      <c r="F73" s="236">
        <f t="shared" si="3"/>
        <v>-0.59734689469585911</v>
      </c>
      <c r="G73" s="236">
        <f t="shared" si="3"/>
        <v>-0.53423390916580815</v>
      </c>
      <c r="H73" s="236">
        <f t="shared" si="3"/>
        <v>-0.53844825733868096</v>
      </c>
    </row>
    <row r="74" spans="2:8" x14ac:dyDescent="0.3">
      <c r="B74" s="81" t="s">
        <v>5</v>
      </c>
      <c r="C74" s="215">
        <f t="shared" si="3"/>
        <v>0.39783137530104873</v>
      </c>
      <c r="D74" s="215">
        <f t="shared" si="3"/>
        <v>0.39035975838167741</v>
      </c>
      <c r="E74" s="215">
        <f t="shared" si="3"/>
        <v>0.38420242264597948</v>
      </c>
      <c r="F74" s="215">
        <f t="shared" si="3"/>
        <v>0.40265310530414089</v>
      </c>
      <c r="G74" s="215">
        <f t="shared" si="3"/>
        <v>0.46576609083419179</v>
      </c>
      <c r="H74" s="215">
        <f t="shared" si="3"/>
        <v>0.46155174266131899</v>
      </c>
    </row>
    <row r="75" spans="2:8" x14ac:dyDescent="0.3">
      <c r="B75" s="86" t="s">
        <v>76</v>
      </c>
      <c r="C75" s="237">
        <f t="shared" si="3"/>
        <v>-0.26319723835142766</v>
      </c>
      <c r="D75" s="237">
        <f t="shared" si="3"/>
        <v>-0.26023353512862052</v>
      </c>
      <c r="E75" s="237">
        <f t="shared" si="3"/>
        <v>-0.26254761070115357</v>
      </c>
      <c r="F75" s="237">
        <f t="shared" si="3"/>
        <v>-0.27803850577179179</v>
      </c>
      <c r="G75" s="237">
        <f t="shared" si="3"/>
        <v>-0.29826319237867777</v>
      </c>
      <c r="H75" s="237">
        <f t="shared" si="3"/>
        <v>-0.30734919834237051</v>
      </c>
    </row>
    <row r="76" spans="2:8" x14ac:dyDescent="0.3">
      <c r="B76" s="110" t="s">
        <v>77</v>
      </c>
      <c r="C76" s="218">
        <f t="shared" si="3"/>
        <v>-7.1888222814332478E-2</v>
      </c>
      <c r="D76" s="218">
        <f t="shared" si="3"/>
        <v>-7.0513315813418964E-2</v>
      </c>
      <c r="E76" s="218">
        <f t="shared" si="3"/>
        <v>-5.8822858437246661E-2</v>
      </c>
      <c r="F76" s="218">
        <f t="shared" si="3"/>
        <v>-5.8228342353811358E-2</v>
      </c>
      <c r="G76" s="218">
        <f t="shared" si="3"/>
        <v>-6.8721720141453599E-2</v>
      </c>
      <c r="H76" s="218">
        <f t="shared" si="3"/>
        <v>-7.3524146637894666E-2</v>
      </c>
    </row>
    <row r="77" spans="2:8" x14ac:dyDescent="0.3">
      <c r="B77" s="113" t="s">
        <v>8</v>
      </c>
      <c r="C77" s="238">
        <f t="shared" si="3"/>
        <v>6.2745914135288572E-2</v>
      </c>
      <c r="D77" s="238">
        <f t="shared" si="3"/>
        <v>5.9612907439637965E-2</v>
      </c>
      <c r="E77" s="238">
        <f t="shared" si="3"/>
        <v>6.2831953507579238E-2</v>
      </c>
      <c r="F77" s="238">
        <f t="shared" si="3"/>
        <v>6.6386257178537744E-2</v>
      </c>
      <c r="G77" s="238">
        <f t="shared" si="3"/>
        <v>9.8781178314060455E-2</v>
      </c>
      <c r="H77" s="238">
        <f t="shared" si="3"/>
        <v>8.0678397681053823E-2</v>
      </c>
    </row>
    <row r="78" spans="2:8" x14ac:dyDescent="0.3">
      <c r="B78" s="110" t="s">
        <v>78</v>
      </c>
      <c r="C78" s="218">
        <f t="shared" si="3"/>
        <v>-1.5308498043695003E-2</v>
      </c>
      <c r="D78" s="218">
        <f t="shared" si="3"/>
        <v>-1.4149126687323663E-2</v>
      </c>
      <c r="E78" s="218">
        <f t="shared" si="3"/>
        <v>-2.4645541038695845E-2</v>
      </c>
      <c r="F78" s="218">
        <f t="shared" si="3"/>
        <v>-2.8938719106153699E-2</v>
      </c>
      <c r="G78" s="218">
        <f t="shared" si="3"/>
        <v>-2.9262735005265605E-2</v>
      </c>
      <c r="H78" s="218">
        <f t="shared" si="3"/>
        <v>-2.8139006246474144E-2</v>
      </c>
    </row>
    <row r="79" spans="2:8" x14ac:dyDescent="0.3">
      <c r="B79" s="116" t="s">
        <v>10</v>
      </c>
      <c r="C79" s="238">
        <f t="shared" si="3"/>
        <v>4.7437416091593569E-2</v>
      </c>
      <c r="D79" s="238">
        <f t="shared" si="3"/>
        <v>4.5463780752314296E-2</v>
      </c>
      <c r="E79" s="238">
        <f t="shared" si="3"/>
        <v>3.8186412468883386E-2</v>
      </c>
      <c r="F79" s="238">
        <f t="shared" si="3"/>
        <v>3.7447538072384053E-2</v>
      </c>
      <c r="G79" s="238">
        <f t="shared" si="3"/>
        <v>6.951844330879485E-2</v>
      </c>
      <c r="H79" s="238">
        <f t="shared" si="3"/>
        <v>5.2539391434579676E-2</v>
      </c>
    </row>
    <row r="80" spans="2:8" x14ac:dyDescent="0.3">
      <c r="B80" s="83" t="s">
        <v>79</v>
      </c>
      <c r="C80" s="218">
        <f t="shared" si="3"/>
        <v>-1.050017525863624E-2</v>
      </c>
      <c r="D80" s="218">
        <f t="shared" si="3"/>
        <v>-9.7510291853511472E-3</v>
      </c>
      <c r="E80" s="218">
        <f t="shared" si="3"/>
        <v>-7.9468985862874639E-3</v>
      </c>
      <c r="F80" s="218">
        <f t="shared" si="3"/>
        <v>-8.4029319085031362E-3</v>
      </c>
      <c r="G80" s="218">
        <f t="shared" si="3"/>
        <v>-1.3253338989517626E-2</v>
      </c>
      <c r="H80" s="218">
        <f t="shared" si="3"/>
        <v>-1.157536369632441E-2</v>
      </c>
    </row>
    <row r="81" spans="2:8" x14ac:dyDescent="0.3">
      <c r="B81" s="87" t="s">
        <v>80</v>
      </c>
      <c r="C81" s="239">
        <f t="shared" si="3"/>
        <v>3.6937240832957324E-2</v>
      </c>
      <c r="D81" s="239">
        <f t="shared" si="3"/>
        <v>3.5712751566963151E-2</v>
      </c>
      <c r="E81" s="239">
        <f t="shared" si="3"/>
        <v>3.0239513882595923E-2</v>
      </c>
      <c r="F81" s="239">
        <f t="shared" si="3"/>
        <v>2.9044606163880916E-2</v>
      </c>
      <c r="G81" s="239">
        <f t="shared" si="3"/>
        <v>5.6265104319277226E-2</v>
      </c>
      <c r="H81" s="239">
        <f t="shared" si="3"/>
        <v>4.0964027738255263E-2</v>
      </c>
    </row>
    <row r="82" spans="2:8" x14ac:dyDescent="0.3">
      <c r="B82" s="119" t="s">
        <v>13</v>
      </c>
      <c r="C82" s="225">
        <f t="shared" si="3"/>
        <v>3.692087978938977E-4</v>
      </c>
      <c r="D82" s="225">
        <f t="shared" si="3"/>
        <v>5.2389312606637467E-4</v>
      </c>
      <c r="E82" s="225">
        <f t="shared" si="3"/>
        <v>7.9831488121471941E-4</v>
      </c>
      <c r="F82" s="225">
        <f t="shared" si="3"/>
        <v>5.905088546951481E-4</v>
      </c>
      <c r="G82" s="225">
        <f t="shared" si="3"/>
        <v>6.3303006947926948E-4</v>
      </c>
      <c r="H82" s="225">
        <f t="shared" si="3"/>
        <v>1.5950690979914159E-3</v>
      </c>
    </row>
    <row r="83" spans="2:8" x14ac:dyDescent="0.3">
      <c r="B83" s="86" t="s">
        <v>81</v>
      </c>
      <c r="C83" s="236">
        <f t="shared" si="3"/>
        <v>-3.2755530717254264E-3</v>
      </c>
      <c r="D83" s="236">
        <f t="shared" si="3"/>
        <v>-2.3850105450294303E-3</v>
      </c>
      <c r="E83" s="236">
        <f t="shared" si="3"/>
        <v>-6.4798988810207733E-3</v>
      </c>
      <c r="F83" s="236">
        <f t="shared" si="3"/>
        <v>-5.7932542935548153E-3</v>
      </c>
      <c r="G83" s="236">
        <f t="shared" si="3"/>
        <v>-6.508910556725811E-3</v>
      </c>
      <c r="H83" s="236">
        <f t="shared" si="3"/>
        <v>-7.4807159427273361E-3</v>
      </c>
    </row>
    <row r="84" spans="2:8" x14ac:dyDescent="0.3">
      <c r="B84" s="81" t="s">
        <v>82</v>
      </c>
      <c r="C84" s="215">
        <f t="shared" si="3"/>
        <v>-2.906344273831529E-3</v>
      </c>
      <c r="D84" s="215">
        <f t="shared" si="3"/>
        <v>-1.8611174189630555E-3</v>
      </c>
      <c r="E84" s="215">
        <f t="shared" si="3"/>
        <v>-5.6815839998060535E-3</v>
      </c>
      <c r="F84" s="215">
        <f t="shared" si="3"/>
        <v>-5.2027454388596673E-3</v>
      </c>
      <c r="G84" s="215">
        <f t="shared" si="3"/>
        <v>-5.8758804872465408E-3</v>
      </c>
      <c r="H84" s="215">
        <f t="shared" si="3"/>
        <v>-5.8856468447359197E-3</v>
      </c>
    </row>
    <row r="85" spans="2:8" x14ac:dyDescent="0.3">
      <c r="B85" s="103" t="s">
        <v>83</v>
      </c>
      <c r="C85" s="236">
        <f t="shared" si="3"/>
        <v>6.3939574024293646E-4</v>
      </c>
      <c r="D85" s="236">
        <f t="shared" si="3"/>
        <v>4.0944583217187219E-4</v>
      </c>
      <c r="E85" s="236">
        <f t="shared" si="3"/>
        <v>1.2499484799573318E-3</v>
      </c>
      <c r="F85" s="236">
        <f t="shared" si="3"/>
        <v>1.1446039965491268E-3</v>
      </c>
      <c r="G85" s="236">
        <f t="shared" si="3"/>
        <v>1.2926937071942391E-3</v>
      </c>
      <c r="H85" s="236">
        <f t="shared" si="3"/>
        <v>1.2948423058419024E-3</v>
      </c>
    </row>
    <row r="86" spans="2:8" x14ac:dyDescent="0.3">
      <c r="B86" s="84" t="s">
        <v>84</v>
      </c>
      <c r="C86" s="240">
        <f t="shared" si="3"/>
        <v>-2.2669485335885925E-3</v>
      </c>
      <c r="D86" s="240">
        <f t="shared" si="3"/>
        <v>-1.4516715867911834E-3</v>
      </c>
      <c r="E86" s="240">
        <f t="shared" si="3"/>
        <v>-4.431635519848722E-3</v>
      </c>
      <c r="F86" s="240">
        <f t="shared" si="3"/>
        <v>-4.0581414423105401E-3</v>
      </c>
      <c r="G86" s="240">
        <f t="shared" si="3"/>
        <v>-4.5831867800523018E-3</v>
      </c>
      <c r="H86" s="240">
        <f t="shared" si="3"/>
        <v>-4.5908045388940166E-3</v>
      </c>
    </row>
    <row r="87" spans="2:8" x14ac:dyDescent="0.3">
      <c r="B87" s="87" t="s">
        <v>85</v>
      </c>
      <c r="C87" s="239">
        <f t="shared" si="3"/>
        <v>3.4670292299368737E-2</v>
      </c>
      <c r="D87" s="239">
        <f t="shared" si="3"/>
        <v>3.4261079980171971E-2</v>
      </c>
      <c r="E87" s="239">
        <f t="shared" si="3"/>
        <v>2.5807878362747203E-2</v>
      </c>
      <c r="F87" s="239">
        <f t="shared" si="3"/>
        <v>2.4986464721570376E-2</v>
      </c>
      <c r="G87" s="239">
        <f t="shared" si="3"/>
        <v>5.1681917539224929E-2</v>
      </c>
      <c r="H87" s="239">
        <f t="shared" si="3"/>
        <v>3.6373223199361246E-2</v>
      </c>
    </row>
  </sheetData>
  <mergeCells count="6">
    <mergeCell ref="C23:C24"/>
    <mergeCell ref="E23:E24"/>
    <mergeCell ref="H23:H24"/>
    <mergeCell ref="G23:G24"/>
    <mergeCell ref="F23:F24"/>
    <mergeCell ref="D23:D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0BAEB-5A46-470D-9C5C-AA574D65445E}">
  <dimension ref="B1:K60"/>
  <sheetViews>
    <sheetView zoomScale="150" zoomScaleNormal="150" workbookViewId="0">
      <selection activeCell="E72" sqref="E72"/>
    </sheetView>
  </sheetViews>
  <sheetFormatPr baseColWidth="10" defaultRowHeight="13.8" x14ac:dyDescent="0.25"/>
  <cols>
    <col min="1" max="1" width="3.33203125" style="2" customWidth="1"/>
    <col min="2" max="2" width="33.77734375" style="2" customWidth="1"/>
    <col min="3" max="3" width="11.5546875" style="2"/>
    <col min="4" max="4" width="11.5546875" style="2" customWidth="1"/>
    <col min="5" max="6" width="11.5546875" style="2"/>
    <col min="7" max="7" width="11.5546875" style="2" customWidth="1"/>
    <col min="8" max="16384" width="11.5546875" style="2"/>
  </cols>
  <sheetData>
    <row r="1" spans="2:3" ht="17.399999999999999" x14ac:dyDescent="0.3">
      <c r="B1" s="1" t="s">
        <v>246</v>
      </c>
    </row>
    <row r="2" spans="2:3" x14ac:dyDescent="0.25">
      <c r="B2" s="388" t="s">
        <v>193</v>
      </c>
      <c r="C2" s="389"/>
    </row>
    <row r="3" spans="2:3" x14ac:dyDescent="0.25">
      <c r="B3" s="330" t="s">
        <v>194</v>
      </c>
      <c r="C3" s="392">
        <v>4.5130000000000003E-2</v>
      </c>
    </row>
    <row r="4" spans="2:3" x14ac:dyDescent="0.25">
      <c r="B4" s="332" t="s">
        <v>69</v>
      </c>
      <c r="C4" s="333">
        <v>0.22</v>
      </c>
    </row>
    <row r="5" spans="2:3" x14ac:dyDescent="0.25">
      <c r="B5" s="330" t="s">
        <v>195</v>
      </c>
      <c r="C5" s="331">
        <v>0.05</v>
      </c>
    </row>
    <row r="6" spans="2:3" x14ac:dyDescent="0.25">
      <c r="B6" s="332" t="s">
        <v>196</v>
      </c>
      <c r="C6" s="334">
        <v>0.90396682281147278</v>
      </c>
    </row>
    <row r="7" spans="2:3" x14ac:dyDescent="0.25">
      <c r="B7" s="335" t="s">
        <v>197</v>
      </c>
      <c r="C7" s="336">
        <v>4.5198341140573639E-2</v>
      </c>
    </row>
    <row r="8" spans="2:3" x14ac:dyDescent="0.25">
      <c r="B8" s="86" t="s">
        <v>198</v>
      </c>
      <c r="C8" s="337">
        <f>+C3*(1-C4)</f>
        <v>3.5201400000000001E-2</v>
      </c>
    </row>
    <row r="9" spans="2:3" x14ac:dyDescent="0.25">
      <c r="B9" s="84" t="s">
        <v>199</v>
      </c>
      <c r="C9" s="338">
        <f>SUM(C7:C8)</f>
        <v>8.0399741140573633E-2</v>
      </c>
    </row>
    <row r="10" spans="2:3" x14ac:dyDescent="0.25">
      <c r="B10" s="422"/>
      <c r="C10" s="422"/>
    </row>
    <row r="11" spans="2:3" x14ac:dyDescent="0.25">
      <c r="B11" s="390" t="s">
        <v>200</v>
      </c>
      <c r="C11" s="391"/>
    </row>
    <row r="12" spans="2:3" x14ac:dyDescent="0.25">
      <c r="B12" s="382" t="s">
        <v>201</v>
      </c>
      <c r="C12" s="410">
        <f>+C3</f>
        <v>4.5130000000000003E-2</v>
      </c>
    </row>
    <row r="13" spans="2:3" x14ac:dyDescent="0.25">
      <c r="B13" s="383" t="s">
        <v>202</v>
      </c>
      <c r="C13" s="385">
        <v>1.2E-2</v>
      </c>
    </row>
    <row r="14" spans="2:3" x14ac:dyDescent="0.25">
      <c r="B14" s="36" t="s">
        <v>69</v>
      </c>
      <c r="C14" s="227">
        <v>0.22</v>
      </c>
    </row>
    <row r="15" spans="2:3" x14ac:dyDescent="0.25">
      <c r="B15" s="381" t="s">
        <v>213</v>
      </c>
      <c r="C15" s="384">
        <f>+C12*(1-C14)+C13</f>
        <v>4.7201400000000004E-2</v>
      </c>
    </row>
    <row r="16" spans="2:3" x14ac:dyDescent="0.25">
      <c r="B16" s="422"/>
      <c r="C16" s="422"/>
    </row>
    <row r="17" spans="2:5" x14ac:dyDescent="0.25">
      <c r="B17" s="423" t="s">
        <v>203</v>
      </c>
      <c r="C17" s="422"/>
    </row>
    <row r="18" spans="2:5" x14ac:dyDescent="0.25">
      <c r="B18" s="422" t="s">
        <v>204</v>
      </c>
      <c r="C18" s="424">
        <f>+Atea!I59</f>
        <v>2878</v>
      </c>
    </row>
    <row r="19" spans="2:5" x14ac:dyDescent="0.25">
      <c r="B19" s="425" t="s">
        <v>101</v>
      </c>
      <c r="C19" s="35">
        <f>-Atea!I67</f>
        <v>-2332</v>
      </c>
    </row>
    <row r="20" spans="2:5" x14ac:dyDescent="0.25">
      <c r="B20" s="426" t="s">
        <v>205</v>
      </c>
      <c r="C20" s="164">
        <f>+C18+C19</f>
        <v>546</v>
      </c>
    </row>
    <row r="21" spans="2:5" x14ac:dyDescent="0.25">
      <c r="B21" s="422" t="s">
        <v>206</v>
      </c>
      <c r="C21" s="35">
        <v>112384093</v>
      </c>
    </row>
    <row r="22" spans="2:5" x14ac:dyDescent="0.25">
      <c r="B22" s="422" t="s">
        <v>207</v>
      </c>
      <c r="C22" s="427">
        <v>129.19999999999999</v>
      </c>
    </row>
    <row r="23" spans="2:5" x14ac:dyDescent="0.25">
      <c r="B23" s="423" t="s">
        <v>208</v>
      </c>
      <c r="C23" s="18">
        <v>14520.024815599998</v>
      </c>
    </row>
    <row r="24" spans="2:5" x14ac:dyDescent="0.25">
      <c r="B24" s="422" t="s">
        <v>209</v>
      </c>
      <c r="C24" s="424">
        <f>+C23+C20</f>
        <v>15066.024815599998</v>
      </c>
    </row>
    <row r="25" spans="2:5" x14ac:dyDescent="0.25">
      <c r="B25" s="422" t="s">
        <v>210</v>
      </c>
      <c r="C25" s="339">
        <f>+C23/C24</f>
        <v>0.96375951807575355</v>
      </c>
    </row>
    <row r="26" spans="2:5" x14ac:dyDescent="0.25">
      <c r="B26" s="422" t="s">
        <v>211</v>
      </c>
      <c r="C26" s="339">
        <f>+C20/C24</f>
        <v>3.6240481924246441E-2</v>
      </c>
    </row>
    <row r="27" spans="2:5" x14ac:dyDescent="0.25">
      <c r="B27" s="422"/>
      <c r="C27" s="422"/>
    </row>
    <row r="28" spans="2:5" x14ac:dyDescent="0.25">
      <c r="B28" s="388" t="s">
        <v>212</v>
      </c>
      <c r="C28" s="393"/>
    </row>
    <row r="29" spans="2:5" x14ac:dyDescent="0.25">
      <c r="B29" s="83" t="s">
        <v>68</v>
      </c>
      <c r="C29" s="85">
        <f>+C9</f>
        <v>8.0399741140573633E-2</v>
      </c>
    </row>
    <row r="30" spans="2:5" x14ac:dyDescent="0.25">
      <c r="B30" s="386" t="s">
        <v>213</v>
      </c>
      <c r="C30" s="387">
        <f>+C15</f>
        <v>4.7201400000000004E-2</v>
      </c>
    </row>
    <row r="31" spans="2:5" x14ac:dyDescent="0.25">
      <c r="B31" s="83" t="s">
        <v>71</v>
      </c>
      <c r="C31" s="85">
        <f>+C25</f>
        <v>0.96375951807575355</v>
      </c>
      <c r="E31" s="250"/>
    </row>
    <row r="32" spans="2:5" x14ac:dyDescent="0.25">
      <c r="B32" s="386" t="s">
        <v>72</v>
      </c>
      <c r="C32" s="387">
        <f>+C26</f>
        <v>3.6240481924246441E-2</v>
      </c>
    </row>
    <row r="33" spans="2:11" x14ac:dyDescent="0.25">
      <c r="B33" s="84" t="s">
        <v>70</v>
      </c>
      <c r="C33" s="340">
        <f>+C29*C31+C30*C32</f>
        <v>7.9196617258553703E-2</v>
      </c>
    </row>
    <row r="35" spans="2:11" x14ac:dyDescent="0.25">
      <c r="B35" s="165" t="s">
        <v>219</v>
      </c>
    </row>
    <row r="36" spans="2:11" x14ac:dyDescent="0.25">
      <c r="B36" s="394" t="s">
        <v>234</v>
      </c>
      <c r="C36" s="395"/>
    </row>
    <row r="37" spans="2:11" x14ac:dyDescent="0.25">
      <c r="B37" s="58" t="s">
        <v>221</v>
      </c>
      <c r="C37" s="359">
        <f>+C6</f>
        <v>0.90396682281147278</v>
      </c>
    </row>
    <row r="38" spans="2:11" x14ac:dyDescent="0.25">
      <c r="B38" s="56" t="s">
        <v>224</v>
      </c>
      <c r="C38" s="360">
        <f>+C20</f>
        <v>546</v>
      </c>
    </row>
    <row r="39" spans="2:11" x14ac:dyDescent="0.25">
      <c r="B39" s="58" t="s">
        <v>235</v>
      </c>
      <c r="C39" s="353">
        <f>+C23</f>
        <v>14520.024815599998</v>
      </c>
    </row>
    <row r="40" spans="2:11" x14ac:dyDescent="0.25">
      <c r="B40" s="67" t="s">
        <v>222</v>
      </c>
      <c r="C40" s="361">
        <f>+C37/(1+C38/C39)</f>
        <v>0.87120662950925509</v>
      </c>
      <c r="E40" s="356"/>
    </row>
    <row r="42" spans="2:11" x14ac:dyDescent="0.25">
      <c r="B42" s="165" t="s">
        <v>223</v>
      </c>
      <c r="C42" s="250"/>
    </row>
    <row r="43" spans="2:11" x14ac:dyDescent="0.25">
      <c r="B43" s="396" t="s">
        <v>227</v>
      </c>
      <c r="C43" s="397">
        <v>2017</v>
      </c>
      <c r="D43" s="398">
        <v>2018</v>
      </c>
      <c r="E43" s="399">
        <v>2019</v>
      </c>
      <c r="F43" s="398">
        <v>2020</v>
      </c>
      <c r="G43" s="399">
        <v>2021</v>
      </c>
      <c r="H43" s="398">
        <v>2022</v>
      </c>
      <c r="I43" s="399">
        <v>2023</v>
      </c>
    </row>
    <row r="44" spans="2:11" x14ac:dyDescent="0.25">
      <c r="B44" s="7" t="s">
        <v>224</v>
      </c>
      <c r="C44" s="354">
        <f>+Atea!C68</f>
        <v>-82</v>
      </c>
      <c r="D44" s="351">
        <f>+Atea!D68</f>
        <v>-58</v>
      </c>
      <c r="E44" s="355">
        <f>+Atea!E68</f>
        <v>-662</v>
      </c>
      <c r="F44" s="351">
        <f>+Atea!F68</f>
        <v>-1032</v>
      </c>
      <c r="G44" s="355">
        <f>+Atea!G68</f>
        <v>-605</v>
      </c>
      <c r="H44" s="351">
        <f>+Atea!H68</f>
        <v>-115</v>
      </c>
      <c r="I44" s="355">
        <f>+Atea!I68</f>
        <v>546</v>
      </c>
    </row>
    <row r="45" spans="2:11" x14ac:dyDescent="0.25">
      <c r="B45" s="3" t="s">
        <v>225</v>
      </c>
      <c r="C45" s="370">
        <v>115.5</v>
      </c>
      <c r="D45" s="371">
        <v>111</v>
      </c>
      <c r="E45" s="370">
        <v>129.6</v>
      </c>
      <c r="F45" s="371">
        <v>121.2</v>
      </c>
      <c r="G45" s="370">
        <v>164</v>
      </c>
      <c r="H45" s="371">
        <v>114</v>
      </c>
      <c r="I45" s="370">
        <v>129.19999999999999</v>
      </c>
    </row>
    <row r="46" spans="2:11" x14ac:dyDescent="0.25">
      <c r="B46" s="7" t="s">
        <v>228</v>
      </c>
      <c r="C46" s="354">
        <v>107581945</v>
      </c>
      <c r="D46" s="182">
        <v>108690517</v>
      </c>
      <c r="E46" s="354">
        <v>109708413</v>
      </c>
      <c r="F46" s="182">
        <v>110119046</v>
      </c>
      <c r="G46" s="354">
        <v>112130609</v>
      </c>
      <c r="H46" s="352">
        <v>112384093</v>
      </c>
      <c r="I46" s="354">
        <v>112384093</v>
      </c>
    </row>
    <row r="47" spans="2:11" x14ac:dyDescent="0.25">
      <c r="B47" s="3" t="s">
        <v>226</v>
      </c>
      <c r="C47" s="196">
        <f t="shared" ref="C47:H47" si="0">+(C45*C46)/1000000</f>
        <v>12425.714647500001</v>
      </c>
      <c r="D47" s="197">
        <f t="shared" si="0"/>
        <v>12064.647387000001</v>
      </c>
      <c r="E47" s="196">
        <f t="shared" si="0"/>
        <v>14218.210324799998</v>
      </c>
      <c r="F47" s="197">
        <f t="shared" si="0"/>
        <v>13346.428375200001</v>
      </c>
      <c r="G47" s="196">
        <f t="shared" si="0"/>
        <v>18389.419876</v>
      </c>
      <c r="H47" s="197">
        <f t="shared" si="0"/>
        <v>12811.786602</v>
      </c>
      <c r="I47" s="196">
        <f>+(I45*I46)/1000000</f>
        <v>14520.024815599998</v>
      </c>
    </row>
    <row r="48" spans="2:11" x14ac:dyDescent="0.25">
      <c r="B48" s="277" t="s">
        <v>220</v>
      </c>
      <c r="C48" s="357">
        <f t="shared" ref="C48:H48" si="1">+$C$40*(1+C44/C47)</f>
        <v>0.86545734702157684</v>
      </c>
      <c r="D48" s="372">
        <f t="shared" si="1"/>
        <v>0.86701836085202244</v>
      </c>
      <c r="E48" s="357">
        <f t="shared" si="1"/>
        <v>0.83064324104051401</v>
      </c>
      <c r="F48" s="372">
        <f t="shared" si="1"/>
        <v>0.80384139767508078</v>
      </c>
      <c r="G48" s="357">
        <f t="shared" si="1"/>
        <v>0.84254449582547364</v>
      </c>
      <c r="H48" s="372">
        <f t="shared" si="1"/>
        <v>0.86338658336690643</v>
      </c>
      <c r="I48" s="357">
        <f>+$C$40*(1+I44/I47)</f>
        <v>0.90396682281147278</v>
      </c>
      <c r="K48" s="356"/>
    </row>
    <row r="50" spans="2:9" x14ac:dyDescent="0.25">
      <c r="B50" s="165" t="s">
        <v>229</v>
      </c>
    </row>
    <row r="51" spans="2:9" x14ac:dyDescent="0.25">
      <c r="B51" s="394"/>
      <c r="C51" s="397">
        <v>2017</v>
      </c>
      <c r="D51" s="399">
        <v>2018</v>
      </c>
      <c r="E51" s="398">
        <v>2019</v>
      </c>
      <c r="F51" s="399">
        <v>2020</v>
      </c>
      <c r="G51" s="398">
        <v>2021</v>
      </c>
      <c r="H51" s="399">
        <v>2022</v>
      </c>
      <c r="I51" s="399">
        <v>2023</v>
      </c>
    </row>
    <row r="52" spans="2:9" x14ac:dyDescent="0.25">
      <c r="B52" s="58" t="s">
        <v>233</v>
      </c>
      <c r="C52" s="245">
        <f>+$C$5</f>
        <v>0.05</v>
      </c>
      <c r="D52" s="245">
        <f t="shared" ref="D52:H52" si="2">+$C$5</f>
        <v>0.05</v>
      </c>
      <c r="E52" s="243">
        <f t="shared" si="2"/>
        <v>0.05</v>
      </c>
      <c r="F52" s="245">
        <f t="shared" si="2"/>
        <v>0.05</v>
      </c>
      <c r="G52" s="243">
        <f t="shared" si="2"/>
        <v>0.05</v>
      </c>
      <c r="H52" s="245">
        <f t="shared" si="2"/>
        <v>0.05</v>
      </c>
      <c r="I52" s="245">
        <f>+$C$5</f>
        <v>0.05</v>
      </c>
    </row>
    <row r="53" spans="2:9" x14ac:dyDescent="0.25">
      <c r="B53" s="363" t="s">
        <v>220</v>
      </c>
      <c r="C53" s="364">
        <f t="shared" ref="C53:I53" si="3">+C48</f>
        <v>0.86545734702157684</v>
      </c>
      <c r="D53" s="364">
        <f t="shared" si="3"/>
        <v>0.86701836085202244</v>
      </c>
      <c r="E53" s="365">
        <f t="shared" si="3"/>
        <v>0.83064324104051401</v>
      </c>
      <c r="F53" s="364">
        <f t="shared" si="3"/>
        <v>0.80384139767508078</v>
      </c>
      <c r="G53" s="365">
        <f t="shared" si="3"/>
        <v>0.84254449582547364</v>
      </c>
      <c r="H53" s="364">
        <f t="shared" si="3"/>
        <v>0.86338658336690643</v>
      </c>
      <c r="I53" s="364">
        <f t="shared" si="3"/>
        <v>0.90396682281147278</v>
      </c>
    </row>
    <row r="54" spans="2:9" x14ac:dyDescent="0.25">
      <c r="B54" s="58" t="s">
        <v>230</v>
      </c>
      <c r="C54" s="187">
        <f t="shared" ref="C54:I54" si="4">+C52*C53</f>
        <v>4.3272867351078846E-2</v>
      </c>
      <c r="D54" s="187">
        <f t="shared" si="4"/>
        <v>4.3350918042601126E-2</v>
      </c>
      <c r="E54" s="175">
        <f t="shared" si="4"/>
        <v>4.1532162052025701E-2</v>
      </c>
      <c r="F54" s="187">
        <f t="shared" si="4"/>
        <v>4.0192069883754039E-2</v>
      </c>
      <c r="G54" s="175">
        <f t="shared" si="4"/>
        <v>4.2127224791273683E-2</v>
      </c>
      <c r="H54" s="187">
        <f t="shared" si="4"/>
        <v>4.3169329168345323E-2</v>
      </c>
      <c r="I54" s="187">
        <f t="shared" si="4"/>
        <v>4.5198341140573639E-2</v>
      </c>
    </row>
    <row r="55" spans="2:9" x14ac:dyDescent="0.25">
      <c r="B55" s="363" t="s">
        <v>194</v>
      </c>
      <c r="C55" s="366">
        <f>+$C$3*0.78</f>
        <v>3.5201400000000001E-2</v>
      </c>
      <c r="D55" s="366">
        <f t="shared" ref="D55:I55" si="5">+$C$3*0.78</f>
        <v>3.5201400000000001E-2</v>
      </c>
      <c r="E55" s="367">
        <f t="shared" si="5"/>
        <v>3.5201400000000001E-2</v>
      </c>
      <c r="F55" s="366">
        <f t="shared" si="5"/>
        <v>3.5201400000000001E-2</v>
      </c>
      <c r="G55" s="367">
        <f t="shared" si="5"/>
        <v>3.5201400000000001E-2</v>
      </c>
      <c r="H55" s="366">
        <f t="shared" si="5"/>
        <v>3.5201400000000001E-2</v>
      </c>
      <c r="I55" s="366">
        <f t="shared" si="5"/>
        <v>3.5201400000000001E-2</v>
      </c>
    </row>
    <row r="56" spans="2:9" x14ac:dyDescent="0.25">
      <c r="B56" s="60" t="s">
        <v>68</v>
      </c>
      <c r="C56" s="163">
        <f>+C54+C55</f>
        <v>7.8474267351078847E-2</v>
      </c>
      <c r="D56" s="163">
        <f t="shared" ref="D56:I56" si="6">+D54+D55</f>
        <v>7.8552318042601127E-2</v>
      </c>
      <c r="E56" s="274">
        <f t="shared" si="6"/>
        <v>7.6733562052025694E-2</v>
      </c>
      <c r="F56" s="163">
        <f t="shared" si="6"/>
        <v>7.5393469883754033E-2</v>
      </c>
      <c r="G56" s="274">
        <f t="shared" si="6"/>
        <v>7.7328624791273684E-2</v>
      </c>
      <c r="H56" s="163">
        <f t="shared" si="6"/>
        <v>7.8370729168345324E-2</v>
      </c>
      <c r="I56" s="163">
        <f t="shared" si="6"/>
        <v>8.0399741140573633E-2</v>
      </c>
    </row>
    <row r="57" spans="2:9" x14ac:dyDescent="0.25">
      <c r="B57" s="67" t="s">
        <v>231</v>
      </c>
      <c r="C57" s="202">
        <f>+$C$15</f>
        <v>4.7201400000000004E-2</v>
      </c>
      <c r="D57" s="202">
        <f t="shared" ref="D57:I57" si="7">+$C$15</f>
        <v>4.7201400000000004E-2</v>
      </c>
      <c r="E57" s="203">
        <f t="shared" si="7"/>
        <v>4.7201400000000004E-2</v>
      </c>
      <c r="F57" s="202">
        <f t="shared" si="7"/>
        <v>4.7201400000000004E-2</v>
      </c>
      <c r="G57" s="203">
        <f t="shared" si="7"/>
        <v>4.7201400000000004E-2</v>
      </c>
      <c r="H57" s="202">
        <f t="shared" si="7"/>
        <v>4.7201400000000004E-2</v>
      </c>
      <c r="I57" s="202">
        <f t="shared" si="7"/>
        <v>4.7201400000000004E-2</v>
      </c>
    </row>
    <row r="58" spans="2:9" x14ac:dyDescent="0.25">
      <c r="B58" s="58" t="s">
        <v>232</v>
      </c>
      <c r="C58" s="187">
        <f t="shared" ref="C58:I58" si="8">+C47/(C44+C47)</f>
        <v>1.0066430570003988</v>
      </c>
      <c r="D58" s="187">
        <f t="shared" si="8"/>
        <v>1.004830657395902</v>
      </c>
      <c r="E58" s="175">
        <f t="shared" si="8"/>
        <v>1.048833706776364</v>
      </c>
      <c r="F58" s="187">
        <f t="shared" si="8"/>
        <v>1.0838041335380491</v>
      </c>
      <c r="G58" s="175">
        <f t="shared" si="8"/>
        <v>1.0340185400602493</v>
      </c>
      <c r="H58" s="187">
        <f t="shared" si="8"/>
        <v>1.0090574098474558</v>
      </c>
      <c r="I58" s="187">
        <f t="shared" si="8"/>
        <v>0.96375951807575355</v>
      </c>
    </row>
    <row r="59" spans="2:9" x14ac:dyDescent="0.25">
      <c r="B59" s="363" t="s">
        <v>211</v>
      </c>
      <c r="C59" s="368">
        <f t="shared" ref="C59:I59" si="9">+C44/(C44+C47)</f>
        <v>-6.6430570003987929E-3</v>
      </c>
      <c r="D59" s="368">
        <f t="shared" si="9"/>
        <v>-4.8306573959020849E-3</v>
      </c>
      <c r="E59" s="369">
        <f t="shared" si="9"/>
        <v>-4.8833706776363901E-2</v>
      </c>
      <c r="F59" s="368">
        <f t="shared" si="9"/>
        <v>-8.3804133538048942E-2</v>
      </c>
      <c r="G59" s="369">
        <f t="shared" si="9"/>
        <v>-3.4018540060249305E-2</v>
      </c>
      <c r="H59" s="368">
        <f t="shared" si="9"/>
        <v>-9.0574098474558266E-3</v>
      </c>
      <c r="I59" s="368">
        <f t="shared" si="9"/>
        <v>3.6240481924246441E-2</v>
      </c>
    </row>
    <row r="60" spans="2:9" x14ac:dyDescent="0.25">
      <c r="B60" s="358" t="s">
        <v>70</v>
      </c>
      <c r="C60" s="303">
        <f>+C56*C58+C57*C59</f>
        <v>7.8682014791457977E-2</v>
      </c>
      <c r="D60" s="303">
        <f t="shared" ref="D60:I60" si="10">+D56*D58+D57*D59</f>
        <v>7.8703763586711939E-2</v>
      </c>
      <c r="E60" s="300">
        <f t="shared" si="10"/>
        <v>7.8175726994146391E-2</v>
      </c>
      <c r="F60" s="303">
        <f t="shared" si="10"/>
        <v>7.7756081873006172E-2</v>
      </c>
      <c r="G60" s="300">
        <f t="shared" si="10"/>
        <v>7.8353508994739765E-2</v>
      </c>
      <c r="H60" s="303">
        <f t="shared" si="10"/>
        <v>7.8653042557293287E-2</v>
      </c>
      <c r="I60" s="303">
        <f t="shared" si="10"/>
        <v>7.9196617258553703E-2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1105-DA50-4AD1-849F-FE1B62FDF6F2}">
  <dimension ref="B1:L160"/>
  <sheetViews>
    <sheetView topLeftCell="A44" zoomScale="120" zoomScaleNormal="120" workbookViewId="0">
      <selection activeCell="C55" sqref="C55"/>
    </sheetView>
  </sheetViews>
  <sheetFormatPr baseColWidth="10" defaultRowHeight="13.8" x14ac:dyDescent="0.25"/>
  <cols>
    <col min="1" max="1" width="3.33203125" style="2" customWidth="1"/>
    <col min="2" max="2" width="38.6640625" style="2" customWidth="1"/>
    <col min="3" max="7" width="11.5546875" style="2"/>
    <col min="8" max="8" width="13.44140625" style="2" customWidth="1"/>
    <col min="9" max="9" width="13" style="2" customWidth="1"/>
    <col min="10" max="16384" width="11.5546875" style="2"/>
  </cols>
  <sheetData>
    <row r="1" spans="2:10" ht="17.399999999999999" x14ac:dyDescent="0.3">
      <c r="B1" s="1" t="s">
        <v>106</v>
      </c>
    </row>
    <row r="2" spans="2:10" ht="17.399999999999999" x14ac:dyDescent="0.3">
      <c r="B2" s="419" t="s">
        <v>148</v>
      </c>
      <c r="C2" s="397">
        <v>2017</v>
      </c>
      <c r="D2" s="399">
        <v>2018</v>
      </c>
      <c r="E2" s="399">
        <v>2019</v>
      </c>
      <c r="F2" s="399">
        <v>2020</v>
      </c>
      <c r="G2" s="399">
        <v>2021</v>
      </c>
      <c r="H2" s="399">
        <v>2022</v>
      </c>
    </row>
    <row r="3" spans="2:10" x14ac:dyDescent="0.25">
      <c r="B3" s="262" t="s">
        <v>149</v>
      </c>
      <c r="C3" s="261">
        <v>0.05</v>
      </c>
      <c r="D3" s="261">
        <v>0.05</v>
      </c>
      <c r="E3" s="261">
        <v>0.15</v>
      </c>
      <c r="F3" s="261">
        <v>0.2</v>
      </c>
      <c r="G3" s="261">
        <v>0.25</v>
      </c>
      <c r="H3" s="261">
        <v>0.3</v>
      </c>
    </row>
    <row r="5" spans="2:10" ht="17.399999999999999" x14ac:dyDescent="0.3">
      <c r="B5" s="1" t="s">
        <v>110</v>
      </c>
    </row>
    <row r="6" spans="2:10" x14ac:dyDescent="0.25">
      <c r="B6" s="418"/>
      <c r="C6" s="400">
        <v>2018</v>
      </c>
      <c r="D6" s="400">
        <v>2019</v>
      </c>
      <c r="E6" s="401">
        <v>2020</v>
      </c>
      <c r="F6" s="400">
        <v>2021</v>
      </c>
      <c r="G6" s="401">
        <v>2022</v>
      </c>
      <c r="H6" s="400">
        <v>2023</v>
      </c>
    </row>
    <row r="7" spans="2:10" x14ac:dyDescent="0.25">
      <c r="B7" s="160" t="s">
        <v>109</v>
      </c>
      <c r="C7" s="162">
        <f>+Atea!D17/(Atea!C49*0.5+Atea!D49*0.5)</f>
        <v>0.14127968537286342</v>
      </c>
      <c r="D7" s="162">
        <f>+Atea!E17/(Atea!D49*0.5+Atea!E49*0.5)</f>
        <v>0.16761723700887199</v>
      </c>
      <c r="E7" s="161">
        <f>+Atea!F17/(Atea!E49*0.5+Atea!F49*0.5)</f>
        <v>0.19193683232698561</v>
      </c>
      <c r="F7" s="162">
        <f>+Atea!G17/(Atea!F49*0.5+Atea!G49*0.5)</f>
        <v>0.21333333333333332</v>
      </c>
      <c r="G7" s="161">
        <f>+Atea!H17/(Atea!G49*0.5+Atea!H49*0.5)</f>
        <v>0.21886124930901052</v>
      </c>
      <c r="H7" s="162">
        <f>+Atea!I17/(Atea!H49*0.5+Atea!I49*0.5)</f>
        <v>0.20855200201460658</v>
      </c>
    </row>
    <row r="8" spans="2:10" x14ac:dyDescent="0.25">
      <c r="B8" s="166" t="s">
        <v>108</v>
      </c>
      <c r="C8" s="167">
        <f>+Avkastningskrav!D56</f>
        <v>7.8552318042601127E-2</v>
      </c>
      <c r="D8" s="167">
        <f>+Avkastningskrav!E56</f>
        <v>7.6733562052025694E-2</v>
      </c>
      <c r="E8" s="167">
        <f>+Avkastningskrav!F56</f>
        <v>7.5393469883754033E-2</v>
      </c>
      <c r="F8" s="167">
        <f>+Avkastningskrav!G56</f>
        <v>7.7328624791273684E-2</v>
      </c>
      <c r="G8" s="167">
        <f>+Avkastningskrav!H56</f>
        <v>7.8370729168345324E-2</v>
      </c>
      <c r="H8" s="167">
        <f>+Avkastningskrav!I56</f>
        <v>8.0399741140573633E-2</v>
      </c>
    </row>
    <row r="9" spans="2:10" x14ac:dyDescent="0.25">
      <c r="B9" s="141" t="s">
        <v>107</v>
      </c>
      <c r="C9" s="163">
        <f>+C7-C8</f>
        <v>6.2727367330262296E-2</v>
      </c>
      <c r="D9" s="163">
        <f t="shared" ref="D9:H9" si="0">+D7-D8</f>
        <v>9.0883674956846294E-2</v>
      </c>
      <c r="E9" s="163">
        <f t="shared" si="0"/>
        <v>0.11654336244323157</v>
      </c>
      <c r="F9" s="163">
        <f t="shared" si="0"/>
        <v>0.13600470854205965</v>
      </c>
      <c r="G9" s="163">
        <f t="shared" si="0"/>
        <v>0.14049052014066521</v>
      </c>
      <c r="H9" s="163">
        <f t="shared" si="0"/>
        <v>0.12815226087403295</v>
      </c>
      <c r="J9" s="428"/>
    </row>
    <row r="10" spans="2:10" x14ac:dyDescent="0.25">
      <c r="B10" s="165"/>
      <c r="C10" s="437"/>
      <c r="D10" s="437"/>
      <c r="E10" s="437"/>
      <c r="F10" s="437"/>
      <c r="G10" s="437"/>
      <c r="H10" s="437"/>
      <c r="J10" s="428"/>
    </row>
    <row r="11" spans="2:10" ht="17.399999999999999" x14ac:dyDescent="0.3">
      <c r="B11" s="442" t="s">
        <v>134</v>
      </c>
      <c r="C11" s="443"/>
      <c r="D11" s="443"/>
      <c r="E11" s="443"/>
      <c r="F11" s="443"/>
      <c r="G11" s="443"/>
      <c r="H11" s="444"/>
    </row>
    <row r="12" spans="2:10" x14ac:dyDescent="0.25">
      <c r="B12" s="160" t="s">
        <v>120</v>
      </c>
      <c r="C12" s="183">
        <f>+Atea!D12/Atea!D3</f>
        <v>1.4713186781526406E-2</v>
      </c>
      <c r="D12" s="177">
        <f>+Atea!E12/Atea!E3</f>
        <v>1.6347019506206522E-2</v>
      </c>
      <c r="E12" s="183">
        <f>+Atea!F12/Atea!F3</f>
        <v>1.7764726729615474E-2</v>
      </c>
      <c r="F12" s="177">
        <f>+Atea!G12/Atea!G3</f>
        <v>1.9840528977051731E-2</v>
      </c>
      <c r="G12" s="183">
        <f>+Atea!H12/Atea!H3</f>
        <v>1.8857791873821361E-2</v>
      </c>
      <c r="H12" s="178">
        <f>+Atea!I12/Atea!I3</f>
        <v>1.8975066024545649E-2</v>
      </c>
      <c r="I12" s="165"/>
    </row>
    <row r="13" spans="2:10" x14ac:dyDescent="0.25">
      <c r="B13" s="166" t="s">
        <v>121</v>
      </c>
      <c r="C13" s="189">
        <f>+Atea!D3/(Atea!D44*0.5+Atea!C44*0.5)</f>
        <v>10.725896168108775</v>
      </c>
      <c r="D13" s="190">
        <f>+Atea!E3/(Atea!E44*0.5+Atea!D44*0.5)</f>
        <v>13.107455748256749</v>
      </c>
      <c r="E13" s="189">
        <f>+Atea!F3/(Atea!F44*0.5+Atea!E44*0.5)</f>
        <v>16.587444887675833</v>
      </c>
      <c r="F13" s="190">
        <f>+Atea!G3/(Atea!G44*0.5+Atea!F44*0.5)</f>
        <v>15.667872786135973</v>
      </c>
      <c r="G13" s="189">
        <f>+Atea!H3/(Atea!H44*0.5+Atea!G44*0.5)</f>
        <v>14.325095932463546</v>
      </c>
      <c r="H13" s="191">
        <f>+Atea!I3/(Atea!I44*0.5+Atea!H44*0.5)</f>
        <v>12.300489669174729</v>
      </c>
      <c r="I13" s="165"/>
    </row>
    <row r="14" spans="2:10" x14ac:dyDescent="0.25">
      <c r="B14" s="179" t="s">
        <v>122</v>
      </c>
      <c r="C14" s="184">
        <f>+C12*C13</f>
        <v>0.15781211372064277</v>
      </c>
      <c r="D14" s="180">
        <f t="shared" ref="D14:H14" si="1">+D12*D13</f>
        <v>0.21426783479349187</v>
      </c>
      <c r="E14" s="184">
        <f t="shared" si="1"/>
        <v>0.2946714255721184</v>
      </c>
      <c r="F14" s="180">
        <f t="shared" si="1"/>
        <v>0.310858884022091</v>
      </c>
      <c r="G14" s="184">
        <f t="shared" si="1"/>
        <v>0.27013967766692248</v>
      </c>
      <c r="H14" s="181">
        <f t="shared" si="1"/>
        <v>0.23340260360683215</v>
      </c>
      <c r="I14" s="429"/>
    </row>
    <row r="15" spans="2:10" x14ac:dyDescent="0.25">
      <c r="B15" s="192" t="s">
        <v>111</v>
      </c>
      <c r="C15" s="193">
        <f>+Atea!D12/(Atea!D44*0.5+Atea!C44*0.5)</f>
        <v>0.15781211372064277</v>
      </c>
      <c r="D15" s="194">
        <f>+Atea!E12/(Atea!E44*0.5+Atea!D44*0.5)</f>
        <v>0.21426783479349187</v>
      </c>
      <c r="E15" s="193">
        <f>+Atea!F12/(Atea!F44*0.5+Atea!E44*0.5)</f>
        <v>0.2946714255721184</v>
      </c>
      <c r="F15" s="194">
        <f>+Atea!G12/(Atea!G44*0.5+Atea!F44*0.5)</f>
        <v>0.310858884022091</v>
      </c>
      <c r="G15" s="193">
        <f>+Atea!H12/(Atea!H44*0.5+Atea!G44*0.5)</f>
        <v>0.27013967766692248</v>
      </c>
      <c r="H15" s="195">
        <f>+Atea!I12/(Atea!I44*0.5+Atea!H44*0.5)</f>
        <v>0.23340260360683213</v>
      </c>
      <c r="I15" s="165"/>
    </row>
    <row r="16" spans="2:10" x14ac:dyDescent="0.25">
      <c r="B16" s="7" t="s">
        <v>119</v>
      </c>
      <c r="C16" s="185">
        <f>+Atea!C68*0.5+Atea!D68*0.5</f>
        <v>-70</v>
      </c>
      <c r="D16" s="171">
        <f>+Atea!D68*0.5+Atea!E68*0.5</f>
        <v>-360</v>
      </c>
      <c r="E16" s="185">
        <f>+Atea!E68*0.5+Atea!F68*0.5</f>
        <v>-847</v>
      </c>
      <c r="F16" s="171">
        <f>+Atea!F68*0.5+Atea!G68*0.5</f>
        <v>-818.5</v>
      </c>
      <c r="G16" s="185">
        <f>+Atea!G68*0.5+Atea!H68*0.5</f>
        <v>-360</v>
      </c>
      <c r="H16" s="172">
        <f>+Atea!H68*0.5+Atea!I68*0.5</f>
        <v>215.5</v>
      </c>
      <c r="I16" s="430"/>
    </row>
    <row r="17" spans="2:9" x14ac:dyDescent="0.25">
      <c r="B17" s="3" t="s">
        <v>118</v>
      </c>
      <c r="C17" s="196">
        <f>+Atea!C49*0.5+Atea!D49*0.5</f>
        <v>3305.5</v>
      </c>
      <c r="D17" s="197">
        <f>+Atea!D49*0.5+Atea!E49*0.5</f>
        <v>3156</v>
      </c>
      <c r="E17" s="196">
        <f>+Atea!E49*0.5+Atea!F49*0.5</f>
        <v>3229.5</v>
      </c>
      <c r="F17" s="197">
        <f>+Atea!F49*0.5+Atea!G49*0.5</f>
        <v>3445.5</v>
      </c>
      <c r="G17" s="196">
        <f>+Atea!G49*0.5+Atea!H49*0.5</f>
        <v>3618</v>
      </c>
      <c r="H17" s="198">
        <f>+Atea!H49*0.5+Atea!I49*0.5</f>
        <v>3971</v>
      </c>
    </row>
    <row r="18" spans="2:9" x14ac:dyDescent="0.25">
      <c r="B18" s="170" t="s">
        <v>117</v>
      </c>
      <c r="C18" s="186">
        <f>+C16/C17</f>
        <v>-2.1176826501285734E-2</v>
      </c>
      <c r="D18" s="173">
        <f t="shared" ref="D18:H18" si="2">+D16/D17</f>
        <v>-0.11406844106463879</v>
      </c>
      <c r="E18" s="186">
        <f t="shared" si="2"/>
        <v>-0.262269701192135</v>
      </c>
      <c r="F18" s="173">
        <f t="shared" si="2"/>
        <v>-0.23755623276737775</v>
      </c>
      <c r="G18" s="186">
        <f t="shared" si="2"/>
        <v>-9.950248756218906E-2</v>
      </c>
      <c r="H18" s="174">
        <f t="shared" si="2"/>
        <v>5.4268446235205235E-2</v>
      </c>
      <c r="I18" s="165"/>
    </row>
    <row r="19" spans="2:9" x14ac:dyDescent="0.25">
      <c r="B19" s="166" t="s">
        <v>115</v>
      </c>
      <c r="C19" s="199">
        <f>Atea!D16/Rentabilitetsanalyse!C16</f>
        <v>0.624</v>
      </c>
      <c r="D19" s="200">
        <f>Atea!E16/Rentabilitetsanalyse!D16</f>
        <v>0.19500000000000001</v>
      </c>
      <c r="E19" s="199">
        <f>Atea!F16/Rentabilitetsanalyse!E16</f>
        <v>9.6694214876033066E-2</v>
      </c>
      <c r="F19" s="200">
        <f>Atea!G16/Rentabilitetsanalyse!F16</f>
        <v>9.9108124618204035E-2</v>
      </c>
      <c r="G19" s="199">
        <f>Atea!H16/Rentabilitetsanalyse!G16</f>
        <v>0.24483333333333335</v>
      </c>
      <c r="H19" s="201">
        <f>Atea!I16/Rentabilitetsanalyse!H16</f>
        <v>-0.69132250580046395</v>
      </c>
      <c r="I19" s="165"/>
    </row>
    <row r="20" spans="2:9" x14ac:dyDescent="0.25">
      <c r="B20" s="7" t="s">
        <v>112</v>
      </c>
      <c r="C20" s="187">
        <f>+C14+C18*(C14+C19)</f>
        <v>0.14125581423177724</v>
      </c>
      <c r="D20" s="175">
        <f t="shared" ref="D20:H20" si="3">+D14+D18*(D15+D19)</f>
        <v>0.16758329090069812</v>
      </c>
      <c r="E20" s="187">
        <f t="shared" si="3"/>
        <v>0.19202807599491317</v>
      </c>
      <c r="F20" s="175">
        <f t="shared" si="3"/>
        <v>0.21346866589059149</v>
      </c>
      <c r="G20" s="187">
        <f t="shared" si="3"/>
        <v>0.21889858204500648</v>
      </c>
      <c r="H20" s="176">
        <f t="shared" si="3"/>
        <v>0.20855200201460661</v>
      </c>
    </row>
    <row r="21" spans="2:9" x14ac:dyDescent="0.25">
      <c r="B21" s="146" t="s">
        <v>116</v>
      </c>
      <c r="C21" s="202">
        <f>+Atea!D17/(Atea!D49*0.5+Atea!C49*0.5)</f>
        <v>0.14127968537286342</v>
      </c>
      <c r="D21" s="203">
        <f>+Atea!E17/(Atea!E49*0.5+Atea!D49*0.5)</f>
        <v>0.16761723700887199</v>
      </c>
      <c r="E21" s="202">
        <f>+Atea!F17/(Atea!F49*0.5+Atea!E49*0.5)</f>
        <v>0.19193683232698561</v>
      </c>
      <c r="F21" s="203">
        <f>+Atea!G17/(Atea!G49*0.5+Atea!F49*0.5)</f>
        <v>0.21333333333333332</v>
      </c>
      <c r="G21" s="202">
        <f>+Atea!H17/(Atea!H49*0.5+Atea!G49*0.5)</f>
        <v>0.21886124930901052</v>
      </c>
      <c r="H21" s="204">
        <f>+Atea!I17/(Atea!I49*0.5+Atea!H49*0.5)</f>
        <v>0.20855200201460658</v>
      </c>
    </row>
    <row r="22" spans="2:9" ht="14.4" x14ac:dyDescent="0.3">
      <c r="C22" s="436"/>
      <c r="D22" s="436"/>
      <c r="E22" s="436"/>
      <c r="F22" s="436"/>
      <c r="G22" s="436"/>
      <c r="H22" s="436"/>
    </row>
    <row r="23" spans="2:9" x14ac:dyDescent="0.25">
      <c r="C23" s="165" t="s">
        <v>113</v>
      </c>
    </row>
    <row r="24" spans="2:9" x14ac:dyDescent="0.25">
      <c r="C24" s="165" t="s">
        <v>123</v>
      </c>
    </row>
    <row r="25" spans="2:9" x14ac:dyDescent="0.25">
      <c r="B25" s="165" t="s">
        <v>150</v>
      </c>
    </row>
    <row r="26" spans="2:9" ht="14.4" customHeight="1" x14ac:dyDescent="0.25">
      <c r="B26" s="415" t="s">
        <v>150</v>
      </c>
      <c r="C26" s="401">
        <v>2018</v>
      </c>
      <c r="D26" s="400">
        <v>2019</v>
      </c>
      <c r="E26" s="401">
        <v>2020</v>
      </c>
      <c r="F26" s="400">
        <v>2021</v>
      </c>
      <c r="G26" s="401">
        <v>2022</v>
      </c>
      <c r="H26" s="445" t="s">
        <v>152</v>
      </c>
    </row>
    <row r="27" spans="2:9" x14ac:dyDescent="0.25">
      <c r="B27" s="394" t="s">
        <v>149</v>
      </c>
      <c r="C27" s="402">
        <f>10/100</f>
        <v>0.1</v>
      </c>
      <c r="D27" s="403">
        <f>15/100</f>
        <v>0.15</v>
      </c>
      <c r="E27" s="402">
        <f>20/100</f>
        <v>0.2</v>
      </c>
      <c r="F27" s="403">
        <f>25/100</f>
        <v>0.25</v>
      </c>
      <c r="G27" s="404">
        <f>30/100</f>
        <v>0.3</v>
      </c>
      <c r="H27" s="446"/>
      <c r="I27" s="254"/>
    </row>
    <row r="28" spans="2:9" x14ac:dyDescent="0.25">
      <c r="B28" s="264" t="s">
        <v>133</v>
      </c>
      <c r="C28" s="247">
        <v>0.16354146877781672</v>
      </c>
      <c r="D28" s="266">
        <v>8.9230457276409159E-2</v>
      </c>
      <c r="E28" s="247">
        <v>7.4281898645222097E-2</v>
      </c>
      <c r="F28" s="266">
        <v>0.12770535445643047</v>
      </c>
      <c r="G28" s="247">
        <v>9.5301515129802492E-2</v>
      </c>
      <c r="H28" s="187">
        <f>+C28*$C$27+D28*$D$27+E28*$E$27+F28*$F$27+G28*$G$27</f>
        <v>0.10511188835133584</v>
      </c>
    </row>
    <row r="29" spans="2:9" x14ac:dyDescent="0.25">
      <c r="B29" s="268" t="s">
        <v>151</v>
      </c>
      <c r="C29" s="269">
        <f>+Avkastningskrav!D60</f>
        <v>7.8703763586711939E-2</v>
      </c>
      <c r="D29" s="199">
        <f>+Avkastningskrav!E60</f>
        <v>7.8175726994146391E-2</v>
      </c>
      <c r="E29" s="269">
        <f>+Avkastningskrav!F60</f>
        <v>7.7756081873006172E-2</v>
      </c>
      <c r="F29" s="199">
        <f>+Avkastningskrav!G60</f>
        <v>7.8353508994739765E-2</v>
      </c>
      <c r="G29" s="269">
        <f>+Avkastningskrav!H60</f>
        <v>7.8653042557293287E-2</v>
      </c>
      <c r="H29" s="199">
        <f>+C29*$C$27+D29*$D$27+E29*$E$27+F29*$F$27+G29*$G$27</f>
        <v>7.833224179826731E-2</v>
      </c>
    </row>
    <row r="30" spans="2:9" x14ac:dyDescent="0.25">
      <c r="B30" s="265" t="s">
        <v>153</v>
      </c>
      <c r="C30" s="263">
        <f>+C28-C29</f>
        <v>8.4837705191104784E-2</v>
      </c>
      <c r="D30" s="267">
        <f t="shared" ref="D30:G30" si="4">+D28-D29</f>
        <v>1.1054730282262767E-2</v>
      </c>
      <c r="E30" s="263">
        <f t="shared" si="4"/>
        <v>-3.4741832277840751E-3</v>
      </c>
      <c r="F30" s="267">
        <f t="shared" si="4"/>
        <v>4.9351845461690705E-2</v>
      </c>
      <c r="G30" s="263">
        <f t="shared" si="4"/>
        <v>1.6648472572509204E-2</v>
      </c>
      <c r="H30" s="270">
        <f>+C30*$C$27+D30*$D$27+E30*$E$27+F30*$F$27+G30*$G$27</f>
        <v>2.6779646553068515E-2</v>
      </c>
      <c r="I30" s="205"/>
    </row>
    <row r="31" spans="2:9" x14ac:dyDescent="0.25">
      <c r="C31" s="165"/>
    </row>
    <row r="32" spans="2:9" x14ac:dyDescent="0.25">
      <c r="B32" s="165" t="s">
        <v>124</v>
      </c>
    </row>
    <row r="33" spans="2:11" x14ac:dyDescent="0.25">
      <c r="B33" s="396" t="s">
        <v>124</v>
      </c>
      <c r="C33" s="399">
        <v>2018</v>
      </c>
      <c r="D33" s="399">
        <v>2019</v>
      </c>
      <c r="E33" s="399">
        <v>2020</v>
      </c>
      <c r="F33" s="399">
        <v>2021</v>
      </c>
      <c r="G33" s="399">
        <v>2022</v>
      </c>
      <c r="H33" s="445" t="s">
        <v>152</v>
      </c>
    </row>
    <row r="34" spans="2:11" x14ac:dyDescent="0.25">
      <c r="B34" s="396" t="s">
        <v>149</v>
      </c>
      <c r="C34" s="403">
        <f>10/100</f>
        <v>0.1</v>
      </c>
      <c r="D34" s="403">
        <f>15/100</f>
        <v>0.15</v>
      </c>
      <c r="E34" s="402">
        <f>20/100</f>
        <v>0.2</v>
      </c>
      <c r="F34" s="403">
        <f>25/100</f>
        <v>0.25</v>
      </c>
      <c r="G34" s="404">
        <f>30/100</f>
        <v>0.3</v>
      </c>
      <c r="H34" s="446"/>
    </row>
    <row r="35" spans="2:11" x14ac:dyDescent="0.25">
      <c r="B35" s="7" t="s">
        <v>132</v>
      </c>
      <c r="C35" s="245">
        <f>+Rentabilitetsanalyse!C14</f>
        <v>0.15781211372064277</v>
      </c>
      <c r="D35" s="245">
        <f>+Rentabilitetsanalyse!D14</f>
        <v>0.21426783479349187</v>
      </c>
      <c r="E35" s="243">
        <f>+Rentabilitetsanalyse!E14</f>
        <v>0.2946714255721184</v>
      </c>
      <c r="F35" s="245">
        <f>+Rentabilitetsanalyse!F14</f>
        <v>0.310858884022091</v>
      </c>
      <c r="G35" s="243">
        <f>+Rentabilitetsanalyse!G14</f>
        <v>0.27013967766692248</v>
      </c>
      <c r="H35" s="245">
        <f>+C35*$C$34+D35*$D$34+E35*$E$34+F35*$F$34+G35*$G$34</f>
        <v>0.26561229601111125</v>
      </c>
    </row>
    <row r="36" spans="2:11" x14ac:dyDescent="0.25">
      <c r="B36" s="3" t="s">
        <v>133</v>
      </c>
      <c r="C36" s="206">
        <f>+Bransje!D14/(Bransje!D45*0.5+Bransje!C45*0.5)</f>
        <v>0.16354146877781672</v>
      </c>
      <c r="D36" s="206">
        <f>+Bransje!E14/(Bransje!E45*0.5+Bransje!D45*0.5)</f>
        <v>8.9230457276409159E-2</v>
      </c>
      <c r="E36" s="248">
        <f>+Bransje!F14/(Bransje!F45*0.5+Bransje!E45*0.5)</f>
        <v>7.4281898645222097E-2</v>
      </c>
      <c r="F36" s="206">
        <f>+Bransje!G14/(Bransje!G45*0.5+Bransje!F45*0.5)</f>
        <v>0.12770535445643047</v>
      </c>
      <c r="G36" s="248">
        <f>+Bransje!H14/(Bransje!H45*0.5+Bransje!G45*0.5)</f>
        <v>9.5301515129802492E-2</v>
      </c>
      <c r="H36" s="249">
        <f>+C36*$C$34+D36*$D$34+E36*$E$34+F36*$F$34+G36*$G$34</f>
        <v>0.10511188835133584</v>
      </c>
    </row>
    <row r="37" spans="2:11" x14ac:dyDescent="0.25">
      <c r="B37" s="141" t="s">
        <v>124</v>
      </c>
      <c r="C37" s="246">
        <f>+C35-C36</f>
        <v>-5.7293550571739515E-3</v>
      </c>
      <c r="D37" s="246">
        <f t="shared" ref="D37:G37" si="5">+D35-D36</f>
        <v>0.12503737751708272</v>
      </c>
      <c r="E37" s="244">
        <f t="shared" si="5"/>
        <v>0.22038952692689628</v>
      </c>
      <c r="F37" s="246">
        <f t="shared" si="5"/>
        <v>0.18315352956566053</v>
      </c>
      <c r="G37" s="244">
        <f t="shared" si="5"/>
        <v>0.17483816253711998</v>
      </c>
      <c r="H37" s="246">
        <f>+C37*$C$34+D37*$D$34+E37*$E$34+F37*$F$34+G37*$G$34</f>
        <v>0.16050040765977538</v>
      </c>
    </row>
    <row r="38" spans="2:11" x14ac:dyDescent="0.25">
      <c r="D38" s="435"/>
      <c r="E38" s="435"/>
      <c r="F38" s="435"/>
      <c r="G38" s="435"/>
      <c r="H38" s="435"/>
    </row>
    <row r="39" spans="2:11" x14ac:dyDescent="0.25">
      <c r="B39" s="165" t="s">
        <v>125</v>
      </c>
    </row>
    <row r="40" spans="2:11" x14ac:dyDescent="0.25">
      <c r="B40" s="394" t="s">
        <v>125</v>
      </c>
      <c r="C40" s="400">
        <v>2018</v>
      </c>
      <c r="D40" s="401">
        <v>2019</v>
      </c>
      <c r="E40" s="400">
        <v>2020</v>
      </c>
      <c r="F40" s="401">
        <v>2021</v>
      </c>
      <c r="G40" s="400">
        <v>2022</v>
      </c>
      <c r="H40" s="445" t="s">
        <v>152</v>
      </c>
    </row>
    <row r="41" spans="2:11" x14ac:dyDescent="0.25">
      <c r="B41" s="394" t="s">
        <v>149</v>
      </c>
      <c r="C41" s="402">
        <v>0.1</v>
      </c>
      <c r="D41" s="403">
        <f>15/100</f>
        <v>0.15</v>
      </c>
      <c r="E41" s="402">
        <f>20/100</f>
        <v>0.2</v>
      </c>
      <c r="F41" s="403">
        <f>25/100</f>
        <v>0.25</v>
      </c>
      <c r="G41" s="404">
        <f>30/100</f>
        <v>0.3</v>
      </c>
      <c r="H41" s="446"/>
    </row>
    <row r="42" spans="2:11" x14ac:dyDescent="0.25">
      <c r="B42" s="54" t="s">
        <v>155</v>
      </c>
      <c r="C42" s="162">
        <f>+Atea!D12/Atea!D3</f>
        <v>1.4713186781526406E-2</v>
      </c>
      <c r="D42" s="161">
        <f>+Atea!E12/Atea!E3</f>
        <v>1.6347019506206522E-2</v>
      </c>
      <c r="E42" s="162">
        <f>+Atea!F12/Atea!F3</f>
        <v>1.7764726729615474E-2</v>
      </c>
      <c r="F42" s="161">
        <f>+Atea!G12/Atea!G3</f>
        <v>1.9840528977051731E-2</v>
      </c>
      <c r="G42" s="162">
        <f>+Atea!H12/Atea!H3</f>
        <v>1.8857791873821361E-2</v>
      </c>
      <c r="H42" s="187">
        <f>C42*$C$41+D42*$D$41+E42*$E$41+F42*$F$41+G42*$G$41</f>
        <v>1.8093786756416055E-2</v>
      </c>
    </row>
    <row r="43" spans="2:11" x14ac:dyDescent="0.25">
      <c r="B43" s="56" t="s">
        <v>156</v>
      </c>
      <c r="C43" s="199">
        <f>+Bransje!D14/Bransje!D5</f>
        <v>3.5712751566963151E-2</v>
      </c>
      <c r="D43" s="200">
        <f>+Bransje!E14/Bransje!E5</f>
        <v>3.0239513882595923E-2</v>
      </c>
      <c r="E43" s="199">
        <f>+Bransje!F14/Bransje!F5</f>
        <v>2.9044606163880916E-2</v>
      </c>
      <c r="F43" s="200">
        <f>+Bransje!G14/Bransje!G5</f>
        <v>5.6265104319277226E-2</v>
      </c>
      <c r="G43" s="199">
        <f>+Bransje!H14/Bransje!H5</f>
        <v>4.0964027738255263E-2</v>
      </c>
      <c r="H43" s="199">
        <f t="shared" ref="H43:H56" si="6">C43*$C$41+D43*$D$41+E43*$E$41+F43*$F$41+G43*$G$41</f>
        <v>4.0271607873157769E-2</v>
      </c>
    </row>
    <row r="44" spans="2:11" x14ac:dyDescent="0.25">
      <c r="B44" s="60" t="s">
        <v>154</v>
      </c>
      <c r="C44" s="163">
        <f t="shared" ref="C44:G44" si="7">+C42-C43</f>
        <v>-2.0999564785436745E-2</v>
      </c>
      <c r="D44" s="274">
        <f t="shared" si="7"/>
        <v>-1.3892494376389401E-2</v>
      </c>
      <c r="E44" s="163">
        <f t="shared" si="7"/>
        <v>-1.1279879434265443E-2</v>
      </c>
      <c r="F44" s="274">
        <f t="shared" si="7"/>
        <v>-3.6424575342225499E-2</v>
      </c>
      <c r="G44" s="163">
        <f t="shared" si="7"/>
        <v>-2.2106235864433901E-2</v>
      </c>
      <c r="H44" s="270">
        <f t="shared" si="6"/>
        <v>-2.2177821116741717E-2</v>
      </c>
    </row>
    <row r="45" spans="2:11" x14ac:dyDescent="0.25">
      <c r="B45" s="405" t="s">
        <v>126</v>
      </c>
      <c r="C45" s="406"/>
      <c r="D45" s="407"/>
      <c r="E45" s="406"/>
      <c r="F45" s="407"/>
      <c r="G45" s="406"/>
      <c r="H45" s="405"/>
    </row>
    <row r="46" spans="2:11" x14ac:dyDescent="0.25">
      <c r="B46" s="58" t="s">
        <v>142</v>
      </c>
      <c r="C46" s="187">
        <f>+Atea!D5/Atea!D3</f>
        <v>0.21709066812642255</v>
      </c>
      <c r="D46" s="175">
        <f>+Atea!E5/Atea!E3</f>
        <v>0.21164916109671258</v>
      </c>
      <c r="E46" s="187">
        <f>+Atea!F5/Atea!F3</f>
        <v>0.20851580892590435</v>
      </c>
      <c r="F46" s="175">
        <f>+Atea!G5/Atea!G3</f>
        <v>0.20531894204589654</v>
      </c>
      <c r="G46" s="187">
        <f>+Atea!H5/Atea!H3</f>
        <v>0.19291102348705641</v>
      </c>
      <c r="H46" s="207">
        <f t="shared" si="6"/>
        <v>0.20436264531992107</v>
      </c>
    </row>
    <row r="47" spans="2:11" x14ac:dyDescent="0.25">
      <c r="B47" s="56" t="s">
        <v>143</v>
      </c>
      <c r="C47" s="199">
        <f>+Bransje!D7/Bransje!D5</f>
        <v>0.39035975838167741</v>
      </c>
      <c r="D47" s="200">
        <f>+Bransje!E7/Bransje!E5</f>
        <v>0.38420242264597948</v>
      </c>
      <c r="E47" s="199">
        <f>+Bransje!F7/Bransje!F5</f>
        <v>0.40265310530414089</v>
      </c>
      <c r="F47" s="200">
        <f>+Bransje!G7/Bransje!G5</f>
        <v>0.46576609083419179</v>
      </c>
      <c r="G47" s="199">
        <f>+Bransje!H7/Bransje!H5</f>
        <v>0.46155174266131899</v>
      </c>
      <c r="H47" s="167">
        <f t="shared" si="6"/>
        <v>0.43210400580283648</v>
      </c>
    </row>
    <row r="48" spans="2:11" x14ac:dyDescent="0.25">
      <c r="B48" s="52" t="s">
        <v>127</v>
      </c>
      <c r="C48" s="272">
        <f t="shared" ref="C48:G48" si="8">+C46-C47</f>
        <v>-0.17326909025525486</v>
      </c>
      <c r="D48" s="271">
        <f t="shared" si="8"/>
        <v>-0.1725532615492669</v>
      </c>
      <c r="E48" s="272">
        <f t="shared" si="8"/>
        <v>-0.19413729637823654</v>
      </c>
      <c r="F48" s="271">
        <f t="shared" si="8"/>
        <v>-0.26044714878829522</v>
      </c>
      <c r="G48" s="272">
        <f t="shared" si="8"/>
        <v>-0.26864071917426258</v>
      </c>
      <c r="H48" s="272">
        <f t="shared" si="6"/>
        <v>-0.22774136048291543</v>
      </c>
      <c r="K48" s="448"/>
    </row>
    <row r="49" spans="2:11" x14ac:dyDescent="0.25">
      <c r="B49" s="394" t="s">
        <v>128</v>
      </c>
      <c r="C49" s="399"/>
      <c r="D49" s="398"/>
      <c r="E49" s="399"/>
      <c r="F49" s="398"/>
      <c r="G49" s="399"/>
      <c r="H49" s="394"/>
      <c r="K49" s="448"/>
    </row>
    <row r="50" spans="2:11" x14ac:dyDescent="0.25">
      <c r="B50" s="83" t="s">
        <v>140</v>
      </c>
      <c r="C50" s="225">
        <f>Atea!D6/Atea!D3</f>
        <v>-0.15722146993575153</v>
      </c>
      <c r="D50" s="226">
        <f>Atea!E6/Atea!E3</f>
        <v>-0.15433092347565133</v>
      </c>
      <c r="E50" s="225">
        <f>Atea!F6/Atea!F3</f>
        <v>-0.15079867351846696</v>
      </c>
      <c r="F50" s="226">
        <f>Atea!G6/Atea!G3</f>
        <v>-0.14901789187086736</v>
      </c>
      <c r="G50" s="225">
        <f>Atea!H6/Atea!H3</f>
        <v>-0.14015086576375793</v>
      </c>
      <c r="H50" s="225">
        <f t="shared" si="6"/>
        <v>-0.14833125291546045</v>
      </c>
    </row>
    <row r="51" spans="2:11" x14ac:dyDescent="0.25">
      <c r="B51" s="56" t="s">
        <v>141</v>
      </c>
      <c r="C51" s="199">
        <f>Bransje!D8/Bransje!D5</f>
        <v>-0.26023353512862052</v>
      </c>
      <c r="D51" s="200">
        <f>Bransje!E8/Bransje!E5</f>
        <v>-0.26254761070115357</v>
      </c>
      <c r="E51" s="199">
        <f>Bransje!F8/Bransje!F5</f>
        <v>-0.27803850577179179</v>
      </c>
      <c r="F51" s="200">
        <f>Bransje!G8/Bransje!G5</f>
        <v>-0.29826319237867777</v>
      </c>
      <c r="G51" s="199">
        <f>Bransje!H8/Bransje!H5</f>
        <v>-0.30734919834237051</v>
      </c>
      <c r="H51" s="241">
        <f t="shared" si="6"/>
        <v>-0.28778375386977406</v>
      </c>
    </row>
    <row r="52" spans="2:11" x14ac:dyDescent="0.25">
      <c r="B52" s="52" t="s">
        <v>127</v>
      </c>
      <c r="C52" s="272">
        <f t="shared" ref="C52:G52" si="9">+C50-C51</f>
        <v>0.10301206519286898</v>
      </c>
      <c r="D52" s="271">
        <f t="shared" si="9"/>
        <v>0.10821668722550223</v>
      </c>
      <c r="E52" s="272">
        <f t="shared" si="9"/>
        <v>0.12723983225332483</v>
      </c>
      <c r="F52" s="271">
        <f t="shared" si="9"/>
        <v>0.1492453005078104</v>
      </c>
      <c r="G52" s="272">
        <f t="shared" si="9"/>
        <v>0.16719833257861258</v>
      </c>
      <c r="H52" s="273">
        <f t="shared" si="6"/>
        <v>0.13945250095431358</v>
      </c>
    </row>
    <row r="53" spans="2:11" x14ac:dyDescent="0.25">
      <c r="B53" s="394" t="s">
        <v>130</v>
      </c>
      <c r="C53" s="408"/>
      <c r="D53" s="409"/>
      <c r="E53" s="408"/>
      <c r="F53" s="409"/>
      <c r="G53" s="408"/>
      <c r="H53" s="408"/>
    </row>
    <row r="54" spans="2:11" x14ac:dyDescent="0.25">
      <c r="B54" s="58" t="s">
        <v>138</v>
      </c>
      <c r="C54" s="207">
        <f>+Atea!D77+Atea!D81+Atea!D79</f>
        <v>-4.5156011409144596E-2</v>
      </c>
      <c r="D54" s="205">
        <f>+Atea!E77+Atea!E81+Atea!E79</f>
        <v>-4.0971218114854727E-2</v>
      </c>
      <c r="E54" s="207">
        <f>+Atea!F77+Atea!F81+Atea!F79</f>
        <v>-3.9952408677821939E-2</v>
      </c>
      <c r="F54" s="205">
        <f>+Atea!G77+Atea!G81+Atea!G79</f>
        <v>-3.6460521197977443E-2</v>
      </c>
      <c r="G54" s="207">
        <f>+Atea!H77+Atea!H81+Atea!H79</f>
        <v>-3.390236584947711E-2</v>
      </c>
      <c r="H54" s="207">
        <f t="shared" si="6"/>
        <v>-3.7937605648044548E-2</v>
      </c>
    </row>
    <row r="55" spans="2:11" x14ac:dyDescent="0.25">
      <c r="B55" s="56" t="s">
        <v>139</v>
      </c>
      <c r="C55" s="167">
        <f>+Bransje!D76+Bransje!D78+Bransje!D80</f>
        <v>-9.4413471686093778E-2</v>
      </c>
      <c r="D55" s="242">
        <f>+Bransje!E76+Bransje!E78+Bransje!E80</f>
        <v>-9.1415298062229977E-2</v>
      </c>
      <c r="E55" s="167">
        <f>+Bransje!F76+Bransje!F78+Bransje!F80</f>
        <v>-9.5569993368468192E-2</v>
      </c>
      <c r="F55" s="242">
        <f>+Bransje!G76+Bransje!G78+Bransje!G80</f>
        <v>-0.11123779413623683</v>
      </c>
      <c r="G55" s="167">
        <f>+Bransje!H76+Bransje!H78+Bransje!H80</f>
        <v>-0.11323851658069321</v>
      </c>
      <c r="H55" s="167">
        <f t="shared" si="6"/>
        <v>-0.10404864405990467</v>
      </c>
    </row>
    <row r="56" spans="2:11" x14ac:dyDescent="0.25">
      <c r="B56" s="60" t="s">
        <v>127</v>
      </c>
      <c r="C56" s="163">
        <f t="shared" ref="C56:G56" si="10">+C54-C55</f>
        <v>4.9257460276949182E-2</v>
      </c>
      <c r="D56" s="274">
        <f t="shared" si="10"/>
        <v>5.044407994737525E-2</v>
      </c>
      <c r="E56" s="163">
        <f t="shared" si="10"/>
        <v>5.5617584690646253E-2</v>
      </c>
      <c r="F56" s="274">
        <f t="shared" si="10"/>
        <v>7.4777272938259393E-2</v>
      </c>
      <c r="G56" s="163">
        <f t="shared" si="10"/>
        <v>7.933615073121611E-2</v>
      </c>
      <c r="H56" s="163">
        <f t="shared" si="6"/>
        <v>6.611103841186014E-2</v>
      </c>
    </row>
    <row r="58" spans="2:11" x14ac:dyDescent="0.25">
      <c r="B58" s="165" t="s">
        <v>131</v>
      </c>
    </row>
    <row r="59" spans="2:11" x14ac:dyDescent="0.25">
      <c r="B59" s="396" t="s">
        <v>131</v>
      </c>
      <c r="C59" s="399">
        <v>2018</v>
      </c>
      <c r="D59" s="399">
        <v>2019</v>
      </c>
      <c r="E59" s="398">
        <v>2020</v>
      </c>
      <c r="F59" s="399">
        <v>2021</v>
      </c>
      <c r="G59" s="398">
        <v>2022</v>
      </c>
      <c r="H59" s="445" t="s">
        <v>152</v>
      </c>
    </row>
    <row r="60" spans="2:11" x14ac:dyDescent="0.25">
      <c r="B60" s="396" t="s">
        <v>149</v>
      </c>
      <c r="C60" s="403">
        <f>10/100</f>
        <v>0.1</v>
      </c>
      <c r="D60" s="403">
        <f>15/100</f>
        <v>0.15</v>
      </c>
      <c r="E60" s="402">
        <f>20/100</f>
        <v>0.2</v>
      </c>
      <c r="F60" s="403">
        <f>25/100</f>
        <v>0.25</v>
      </c>
      <c r="G60" s="402">
        <f>30/100</f>
        <v>0.3</v>
      </c>
      <c r="H60" s="446"/>
    </row>
    <row r="61" spans="2:11" x14ac:dyDescent="0.25">
      <c r="B61" s="7" t="s">
        <v>144</v>
      </c>
      <c r="C61" s="251">
        <f>+Atea!D3/(Atea!C44*0.5+Atea!D44*0.5)</f>
        <v>10.725896168108775</v>
      </c>
      <c r="D61" s="251">
        <f>+Atea!E3/(Atea!D44*0.5+Atea!E44*0.5)</f>
        <v>13.107455748256749</v>
      </c>
      <c r="E61" s="250">
        <f>+Atea!F3/(Atea!E44*0.5+Atea!F44*0.5)</f>
        <v>16.587444887675833</v>
      </c>
      <c r="F61" s="251">
        <f>+Atea!G3/(Atea!F44*0.5+Atea!G44*0.5)</f>
        <v>15.667872786135973</v>
      </c>
      <c r="G61" s="250">
        <f>+Atea!H3/(Atea!G44*0.5+Atea!H44*0.5)</f>
        <v>14.325095932463546</v>
      </c>
      <c r="H61" s="251">
        <f t="shared" ref="H61:H66" si="11">+C61*$C$60+D61*$D$60+E61*$E$60+F61*$F$60+G61*$G$60</f>
        <v>14.570693932857612</v>
      </c>
    </row>
    <row r="62" spans="2:11" x14ac:dyDescent="0.25">
      <c r="B62" s="3" t="s">
        <v>145</v>
      </c>
      <c r="C62" s="189">
        <f>+Bransje!D5/(Bransje!C45*0.5+Bransje!D45*0.5)</f>
        <v>4.5793578372466897</v>
      </c>
      <c r="D62" s="189">
        <f>+Bransje!E5/(Bransje!D45*0.5+Bransje!E45*0.5)</f>
        <v>2.950790069669901</v>
      </c>
      <c r="E62" s="190">
        <f>+Bransje!F5/(Bransje!E45*0.5+Bransje!F45*0.5)</f>
        <v>2.557510961797687</v>
      </c>
      <c r="F62" s="189">
        <f>+Bransje!G5/(Bransje!F45*0.5+Bransje!G45*0.5)</f>
        <v>2.2697079477852631</v>
      </c>
      <c r="G62" s="190">
        <f>+Bransje!H5/(Bransje!G45*0.5+Bransje!H45*0.5)</f>
        <v>2.3264683770537249</v>
      </c>
      <c r="H62" s="189">
        <f t="shared" si="11"/>
        <v>2.6774239865971246</v>
      </c>
      <c r="J62" s="205"/>
    </row>
    <row r="63" spans="2:11" x14ac:dyDescent="0.25">
      <c r="B63" s="141" t="s">
        <v>127</v>
      </c>
      <c r="C63" s="276">
        <f>+C61-C62</f>
        <v>6.1465383308620858</v>
      </c>
      <c r="D63" s="276">
        <f>+D61-D62</f>
        <v>10.156665678586847</v>
      </c>
      <c r="E63" s="275">
        <f>+E61-E62</f>
        <v>14.029933925878145</v>
      </c>
      <c r="F63" s="276">
        <f>+F61-F62</f>
        <v>13.398164838350709</v>
      </c>
      <c r="G63" s="275">
        <f>+G61-G62</f>
        <v>11.99862755540982</v>
      </c>
      <c r="H63" s="276">
        <f t="shared" si="11"/>
        <v>11.893269946260489</v>
      </c>
      <c r="J63" s="205"/>
    </row>
    <row r="64" spans="2:11" x14ac:dyDescent="0.25">
      <c r="B64" s="278" t="s">
        <v>146</v>
      </c>
      <c r="C64" s="280">
        <f t="shared" ref="C64:G65" si="12">365/C61</f>
        <v>34.029790544239248</v>
      </c>
      <c r="D64" s="280">
        <f t="shared" si="12"/>
        <v>27.846746692129315</v>
      </c>
      <c r="E64" s="279">
        <f t="shared" si="12"/>
        <v>22.00459458775283</v>
      </c>
      <c r="F64" s="280">
        <f t="shared" si="12"/>
        <v>23.296078860365618</v>
      </c>
      <c r="G64" s="279">
        <f t="shared" si="12"/>
        <v>25.479759557689011</v>
      </c>
      <c r="H64" s="280">
        <f t="shared" si="11"/>
        <v>25.448857558191996</v>
      </c>
      <c r="J64" s="205"/>
    </row>
    <row r="65" spans="2:12" x14ac:dyDescent="0.25">
      <c r="B65" s="277" t="s">
        <v>147</v>
      </c>
      <c r="C65" s="282">
        <f t="shared" si="12"/>
        <v>79.705498668663552</v>
      </c>
      <c r="D65" s="282">
        <f t="shared" si="12"/>
        <v>123.69568535278141</v>
      </c>
      <c r="E65" s="281">
        <f t="shared" si="12"/>
        <v>142.71688585195338</v>
      </c>
      <c r="F65" s="282">
        <f t="shared" si="12"/>
        <v>160.81364140093879</v>
      </c>
      <c r="G65" s="281">
        <f t="shared" si="12"/>
        <v>156.89016175764297</v>
      </c>
      <c r="H65" s="282">
        <f t="shared" si="11"/>
        <v>142.33873871770183</v>
      </c>
      <c r="J65" s="205"/>
    </row>
    <row r="66" spans="2:12" x14ac:dyDescent="0.25">
      <c r="B66" s="146" t="s">
        <v>127</v>
      </c>
      <c r="C66" s="284">
        <f>+C64-C65</f>
        <v>-45.675708124424304</v>
      </c>
      <c r="D66" s="284">
        <f t="shared" ref="D66:G66" si="13">+D64-D65</f>
        <v>-95.848938660652095</v>
      </c>
      <c r="E66" s="283">
        <f t="shared" si="13"/>
        <v>-120.71229126420054</v>
      </c>
      <c r="F66" s="284">
        <f t="shared" si="13"/>
        <v>-137.51756254057318</v>
      </c>
      <c r="G66" s="283">
        <f t="shared" si="13"/>
        <v>-131.41040219995395</v>
      </c>
      <c r="H66" s="284">
        <f t="shared" si="11"/>
        <v>-116.88988115950983</v>
      </c>
    </row>
    <row r="68" spans="2:12" ht="17.399999999999999" x14ac:dyDescent="0.3">
      <c r="B68" s="1" t="s">
        <v>137</v>
      </c>
      <c r="D68" s="243"/>
      <c r="I68" s="254"/>
    </row>
    <row r="69" spans="2:12" x14ac:dyDescent="0.25">
      <c r="B69" s="396" t="s">
        <v>124</v>
      </c>
      <c r="C69" s="399">
        <v>2018</v>
      </c>
      <c r="D69" s="399">
        <v>2019</v>
      </c>
      <c r="E69" s="398">
        <v>2020</v>
      </c>
      <c r="F69" s="399">
        <v>2021</v>
      </c>
      <c r="G69" s="399">
        <v>2022</v>
      </c>
    </row>
    <row r="70" spans="2:12" x14ac:dyDescent="0.25">
      <c r="B70" s="258" t="s">
        <v>136</v>
      </c>
      <c r="C70" s="257">
        <f>+C44*C62</f>
        <v>-9.6164521578959355E-2</v>
      </c>
      <c r="D70" s="257">
        <f>+D44*D62</f>
        <v>-4.0993834448794786E-2</v>
      </c>
      <c r="E70" s="256">
        <f>+E44*E62</f>
        <v>-2.8848415300890162E-2</v>
      </c>
      <c r="F70" s="257">
        <f>+F44*F62</f>
        <v>-8.2673148148952338E-2</v>
      </c>
      <c r="G70" s="257">
        <f>+G44*G62</f>
        <v>-5.1429458674296387E-2</v>
      </c>
    </row>
    <row r="71" spans="2:12" x14ac:dyDescent="0.25">
      <c r="B71" s="166" t="s">
        <v>175</v>
      </c>
      <c r="C71" s="206">
        <f>+C63*C42</f>
        <v>9.0435166521785418E-2</v>
      </c>
      <c r="D71" s="206">
        <f>+D63*D42</f>
        <v>0.1660312119658775</v>
      </c>
      <c r="E71" s="248">
        <f>+E63*E42</f>
        <v>0.24923794222778645</v>
      </c>
      <c r="F71" s="259">
        <f>+F63*F42</f>
        <v>0.26582667771461288</v>
      </c>
      <c r="G71" s="206">
        <f>+G63*G42</f>
        <v>0.22626762121141639</v>
      </c>
    </row>
    <row r="72" spans="2:12" x14ac:dyDescent="0.25">
      <c r="B72" s="304" t="s">
        <v>124</v>
      </c>
      <c r="C72" s="321">
        <f>SUM(C70:C71)</f>
        <v>-5.7293550571739377E-3</v>
      </c>
      <c r="D72" s="321">
        <f t="shared" ref="D72:G72" si="14">SUM(D70:D71)</f>
        <v>0.12503737751708272</v>
      </c>
      <c r="E72" s="320">
        <f t="shared" si="14"/>
        <v>0.22038952692689628</v>
      </c>
      <c r="F72" s="321">
        <f t="shared" si="14"/>
        <v>0.18315352956566056</v>
      </c>
      <c r="G72" s="321">
        <f t="shared" si="14"/>
        <v>0.17483816253712001</v>
      </c>
    </row>
    <row r="73" spans="2:12" x14ac:dyDescent="0.25">
      <c r="B73" s="322" t="s">
        <v>176</v>
      </c>
      <c r="C73" s="324">
        <f>+C30</f>
        <v>8.4837705191104784E-2</v>
      </c>
      <c r="D73" s="324">
        <f>+D30</f>
        <v>1.1054730282262767E-2</v>
      </c>
      <c r="E73" s="323">
        <f>+E30</f>
        <v>-3.4741832277840751E-3</v>
      </c>
      <c r="F73" s="324">
        <f>+F30</f>
        <v>4.9351845461690705E-2</v>
      </c>
      <c r="G73" s="324">
        <f>+G30</f>
        <v>1.6648472572509204E-2</v>
      </c>
    </row>
    <row r="74" spans="2:12" x14ac:dyDescent="0.25">
      <c r="B74" s="325" t="s">
        <v>177</v>
      </c>
      <c r="C74" s="327">
        <f>SUM(C72:C73)</f>
        <v>7.9108350133930846E-2</v>
      </c>
      <c r="D74" s="327">
        <f t="shared" ref="D74:G74" si="15">SUM(D72:D73)</f>
        <v>0.1360921077993455</v>
      </c>
      <c r="E74" s="326">
        <f t="shared" si="15"/>
        <v>0.2169153436991122</v>
      </c>
      <c r="F74" s="327">
        <f t="shared" si="15"/>
        <v>0.23250537502735125</v>
      </c>
      <c r="G74" s="327">
        <f t="shared" si="15"/>
        <v>0.19148663510962921</v>
      </c>
    </row>
    <row r="75" spans="2:12" x14ac:dyDescent="0.25">
      <c r="B75" s="429"/>
      <c r="C75" s="434"/>
    </row>
    <row r="76" spans="2:12" ht="17.399999999999999" x14ac:dyDescent="0.3">
      <c r="B76" s="1" t="s">
        <v>157</v>
      </c>
    </row>
    <row r="77" spans="2:12" x14ac:dyDescent="0.25">
      <c r="B77" s="396" t="s">
        <v>158</v>
      </c>
      <c r="C77" s="399">
        <v>2018</v>
      </c>
      <c r="D77" s="399">
        <v>2019</v>
      </c>
      <c r="E77" s="398">
        <v>2020</v>
      </c>
      <c r="F77" s="399">
        <v>2021</v>
      </c>
      <c r="G77" s="398">
        <v>2022</v>
      </c>
      <c r="H77" s="445" t="s">
        <v>152</v>
      </c>
      <c r="L77" s="168"/>
    </row>
    <row r="78" spans="2:12" x14ac:dyDescent="0.25">
      <c r="B78" s="396" t="s">
        <v>149</v>
      </c>
      <c r="C78" s="403">
        <f>10/100</f>
        <v>0.1</v>
      </c>
      <c r="D78" s="402">
        <f>15/100</f>
        <v>0.15</v>
      </c>
      <c r="E78" s="403">
        <f>20/100</f>
        <v>0.2</v>
      </c>
      <c r="F78" s="402">
        <f>25/100</f>
        <v>0.25</v>
      </c>
      <c r="G78" s="403">
        <f>30/100</f>
        <v>0.3</v>
      </c>
      <c r="H78" s="447"/>
      <c r="L78" s="168"/>
    </row>
    <row r="79" spans="2:12" x14ac:dyDescent="0.25">
      <c r="B79" s="285" t="s">
        <v>160</v>
      </c>
      <c r="C79" s="297">
        <f>+C35</f>
        <v>0.15781211372064277</v>
      </c>
      <c r="D79" s="298">
        <f>+D35</f>
        <v>0.21426783479349187</v>
      </c>
      <c r="E79" s="297">
        <f>+E35</f>
        <v>0.2946714255721184</v>
      </c>
      <c r="F79" s="298">
        <f>+F35</f>
        <v>0.310858884022091</v>
      </c>
      <c r="G79" s="297">
        <f>+G35</f>
        <v>0.27013967766692248</v>
      </c>
      <c r="H79" s="286">
        <f>+C79*$C$78+D79*$D$78+E79*$E$78+F79*$F$78+G79*$G$78</f>
        <v>0.26561229601111125</v>
      </c>
    </row>
    <row r="80" spans="2:12" x14ac:dyDescent="0.25">
      <c r="B80" s="166" t="s">
        <v>161</v>
      </c>
      <c r="C80" s="167">
        <f>+C29</f>
        <v>7.8703763586711939E-2</v>
      </c>
      <c r="D80" s="242">
        <f>+D29</f>
        <v>7.8175726994146391E-2</v>
      </c>
      <c r="E80" s="167">
        <f>+E29</f>
        <v>7.7756081873006172E-2</v>
      </c>
      <c r="F80" s="242">
        <f>+F29</f>
        <v>7.8353508994739765E-2</v>
      </c>
      <c r="G80" s="167">
        <f>+G29</f>
        <v>7.8653042557293287E-2</v>
      </c>
      <c r="H80" s="201">
        <f>+C80*$C$78+D80*$D$78+E80*$E$78+F80*$F$78+G80*$G$78</f>
        <v>7.833224179826731E-2</v>
      </c>
    </row>
    <row r="81" spans="2:12" x14ac:dyDescent="0.25">
      <c r="B81" s="373" t="s">
        <v>162</v>
      </c>
      <c r="C81" s="290">
        <f>+C79-C80</f>
        <v>7.9108350133930833E-2</v>
      </c>
      <c r="D81" s="291">
        <f t="shared" ref="D81:G81" si="16">+D79-D80</f>
        <v>0.1360921077993455</v>
      </c>
      <c r="E81" s="290">
        <f t="shared" si="16"/>
        <v>0.21691534369911222</v>
      </c>
      <c r="F81" s="291">
        <f t="shared" si="16"/>
        <v>0.23250537502735125</v>
      </c>
      <c r="G81" s="290">
        <f t="shared" si="16"/>
        <v>0.19148663510962921</v>
      </c>
      <c r="H81" s="292">
        <f>+C81*$C$78+D81*$D$78+E81*$E$78+F81*$F$78+G81*$G$78</f>
        <v>0.18728005421284394</v>
      </c>
    </row>
    <row r="82" spans="2:12" x14ac:dyDescent="0.25">
      <c r="B82" s="166" t="s">
        <v>172</v>
      </c>
      <c r="C82" s="293">
        <f>+(Atea!C68*0.5+Atea!D68*0.5)/(Atea!C49*0.5+Atea!D49*0.5)</f>
        <v>-2.1176826501285734E-2</v>
      </c>
      <c r="D82" s="294">
        <f>+(Atea!D68*0.5+Atea!E68*0.5)/(Atea!D49*0.5+Atea!E49*0.5)</f>
        <v>-0.11406844106463879</v>
      </c>
      <c r="E82" s="293">
        <f>+(Atea!E68*0.5+Atea!F68*0.5)/(Atea!E49*0.5+Atea!F49*0.5)</f>
        <v>-0.262269701192135</v>
      </c>
      <c r="F82" s="294">
        <f>+(Atea!F68*0.5+Atea!G68*0.5)/(Atea!F49*0.5+Atea!G49*0.5)</f>
        <v>-0.23755623276737775</v>
      </c>
      <c r="G82" s="293">
        <f>+(Atea!G68*0.5+Atea!H68*0.5)/(Atea!G49*0.5+Atea!H49*0.5)</f>
        <v>-9.950248756218906E-2</v>
      </c>
      <c r="H82" s="295">
        <f>+C82*$C$78+D82*$D$78+E82*$E$78+F82*$F$78+G82*$G$78</f>
        <v>-0.16092169350875254</v>
      </c>
      <c r="L82" s="260"/>
    </row>
    <row r="83" spans="2:12" x14ac:dyDescent="0.25">
      <c r="B83" s="325" t="s">
        <v>236</v>
      </c>
      <c r="C83" s="267">
        <f>+C81*C82</f>
        <v>-1.6752638055892173E-3</v>
      </c>
      <c r="D83" s="263">
        <f t="shared" ref="D83:G83" si="17">+D81*D82</f>
        <v>-1.552381457787211E-2</v>
      </c>
      <c r="E83" s="267">
        <f t="shared" si="17"/>
        <v>-5.6890322375955427E-2</v>
      </c>
      <c r="F83" s="263">
        <f t="shared" si="17"/>
        <v>-5.5233100989663914E-2</v>
      </c>
      <c r="G83" s="267">
        <f t="shared" si="17"/>
        <v>-1.9053396528321314E-2</v>
      </c>
      <c r="H83" s="289">
        <f>+C83*$C$78+D83*$D$78+E83*$E$78+F83*$F$78+G83*$G$78</f>
        <v>-3.33984572483432E-2</v>
      </c>
    </row>
    <row r="84" spans="2:12" x14ac:dyDescent="0.25">
      <c r="C84" s="432"/>
      <c r="D84" s="431"/>
      <c r="E84" s="431"/>
      <c r="F84" s="431"/>
      <c r="G84" s="431"/>
      <c r="H84" s="431"/>
      <c r="I84" s="431"/>
    </row>
    <row r="85" spans="2:12" x14ac:dyDescent="0.25">
      <c r="B85" s="2" t="s">
        <v>165</v>
      </c>
      <c r="D85" s="431">
        <f>-(Atea!C67*0.5+Atea!D67*0.5)/(Atea!C49*0.5+Atea!D49*0.5)</f>
        <v>-0.29995462108606868</v>
      </c>
      <c r="E85" s="431">
        <f>-(Atea!D67*0.5+Atea!E67*0.5)/(Atea!D49*0.5+Atea!E49*0.5)</f>
        <v>-0.61375158428390364</v>
      </c>
      <c r="F85" s="431">
        <f>-(Atea!E67*0.5+Atea!F67*0.5)/(Atea!E49*0.5+Atea!F49*0.5)</f>
        <v>-0.94813438612788359</v>
      </c>
      <c r="G85" s="431">
        <f>-(Atea!F67*0.5+Atea!G67*0.5)/(Atea!F49*0.5+Atea!G49*0.5)</f>
        <v>-0.84037149905674069</v>
      </c>
      <c r="H85" s="431">
        <f>-(Atea!G67*0.5+Atea!H67*0.5)/(Atea!G49*0.5+Atea!H49*0.5)</f>
        <v>-0.68325041459369817</v>
      </c>
    </row>
    <row r="86" spans="2:12" x14ac:dyDescent="0.25">
      <c r="B86" s="2" t="s">
        <v>164</v>
      </c>
      <c r="C86" s="433"/>
      <c r="D86" s="431">
        <f>+(Atea!C59*0.5+Atea!D59*0.5)/(Atea!C49*0.5+Atea!D49*0.5)</f>
        <v>0.27877779458478291</v>
      </c>
      <c r="E86" s="431">
        <f>+(Atea!D59*0.5+Atea!E59*0.5)/(Atea!D49*0.5+Atea!E49*0.5)</f>
        <v>0.49968314321926488</v>
      </c>
      <c r="F86" s="431">
        <f>+(Atea!E59*0.5+Atea!F59*0.5)/(Atea!E49*0.5+Atea!F49*0.5)</f>
        <v>0.68586468493574859</v>
      </c>
      <c r="G86" s="431">
        <f>+(Atea!F59*0.5+Atea!G59*0.5)/(Atea!F49*0.5+Atea!G49*0.5)</f>
        <v>0.60281526628936288</v>
      </c>
      <c r="H86" s="431">
        <f>+(Atea!G59*0.5+Atea!H59*0.5)/(Atea!G49*0.5+Atea!H49*0.5)</f>
        <v>0.58374792703150913</v>
      </c>
      <c r="I86" s="431"/>
      <c r="J86" s="431"/>
    </row>
    <row r="87" spans="2:12" x14ac:dyDescent="0.25">
      <c r="C87" s="433"/>
      <c r="D87" s="173"/>
      <c r="E87" s="173"/>
      <c r="F87" s="173"/>
      <c r="G87" s="173"/>
      <c r="H87" s="173"/>
    </row>
    <row r="88" spans="2:12" ht="17.399999999999999" x14ac:dyDescent="0.3">
      <c r="B88" s="1" t="s">
        <v>171</v>
      </c>
      <c r="C88" s="433"/>
      <c r="D88" s="173"/>
      <c r="E88" s="173"/>
      <c r="F88" s="173"/>
      <c r="G88" s="173"/>
      <c r="H88" s="173"/>
    </row>
    <row r="89" spans="2:12" x14ac:dyDescent="0.25">
      <c r="B89" s="396" t="s">
        <v>167</v>
      </c>
      <c r="C89" s="399">
        <v>2018</v>
      </c>
      <c r="D89" s="399">
        <v>2019</v>
      </c>
      <c r="E89" s="398">
        <v>2020</v>
      </c>
      <c r="F89" s="399">
        <v>2021</v>
      </c>
      <c r="G89" s="398">
        <v>2022</v>
      </c>
      <c r="H89" s="445" t="s">
        <v>148</v>
      </c>
    </row>
    <row r="90" spans="2:12" x14ac:dyDescent="0.25">
      <c r="B90" s="396" t="s">
        <v>149</v>
      </c>
      <c r="C90" s="403">
        <f>10/100</f>
        <v>0.1</v>
      </c>
      <c r="D90" s="403">
        <f>15/100</f>
        <v>0.15</v>
      </c>
      <c r="E90" s="402">
        <f>20/100</f>
        <v>0.2</v>
      </c>
      <c r="F90" s="403">
        <f>25/100</f>
        <v>0.25</v>
      </c>
      <c r="G90" s="402">
        <f>30/100</f>
        <v>0.3</v>
      </c>
      <c r="H90" s="446"/>
    </row>
    <row r="91" spans="2:12" x14ac:dyDescent="0.25">
      <c r="B91" s="285" t="s">
        <v>160</v>
      </c>
      <c r="C91" s="302">
        <v>0.15781211372064277</v>
      </c>
      <c r="D91" s="302">
        <v>0.21426783479349187</v>
      </c>
      <c r="E91" s="299">
        <v>0.2946714255721184</v>
      </c>
      <c r="F91" s="302">
        <v>0.310858884022091</v>
      </c>
      <c r="G91" s="299">
        <v>0.27013967766692248</v>
      </c>
      <c r="H91" s="305">
        <f>+C91*$C$90+D91*$D$90+E91*$E$90+F91*$F$90+G91*$G$90</f>
        <v>0.26561229601111125</v>
      </c>
    </row>
    <row r="92" spans="2:12" x14ac:dyDescent="0.25">
      <c r="B92" s="3" t="s">
        <v>161</v>
      </c>
      <c r="C92" s="310">
        <f>+C29</f>
        <v>7.8703763586711939E-2</v>
      </c>
      <c r="D92" s="310">
        <f>+D29</f>
        <v>7.8175726994146391E-2</v>
      </c>
      <c r="E92" s="309">
        <f>+E29</f>
        <v>7.7756081873006172E-2</v>
      </c>
      <c r="F92" s="310">
        <f>+F29</f>
        <v>7.8353508994739765E-2</v>
      </c>
      <c r="G92" s="309">
        <f>+G29</f>
        <v>7.8653042557293287E-2</v>
      </c>
      <c r="H92" s="199">
        <f>+C92*$C$90+D92*$D$90+E92*$E$90+F92*$F$90+G92*$G$90</f>
        <v>7.833224179826731E-2</v>
      </c>
    </row>
    <row r="93" spans="2:12" x14ac:dyDescent="0.25">
      <c r="B93" s="301" t="s">
        <v>159</v>
      </c>
      <c r="C93" s="308">
        <f>+C81</f>
        <v>7.9108350133930833E-2</v>
      </c>
      <c r="D93" s="308">
        <f>+D81</f>
        <v>0.1360921077993455</v>
      </c>
      <c r="E93" s="307">
        <f>+E81</f>
        <v>0.21691534369911222</v>
      </c>
      <c r="F93" s="308">
        <f>+F81</f>
        <v>0.23250537502735125</v>
      </c>
      <c r="G93" s="307">
        <f>+G81</f>
        <v>0.19148663510962921</v>
      </c>
      <c r="H93" s="306">
        <f>+C93*$C$90+D93*$D$90+E93*$E$90+F93*$F$90+G93*$G$90</f>
        <v>0.18728005421284394</v>
      </c>
    </row>
    <row r="94" spans="2:12" x14ac:dyDescent="0.25">
      <c r="B94" s="396" t="s">
        <v>170</v>
      </c>
      <c r="C94" s="411"/>
      <c r="D94" s="411"/>
      <c r="E94" s="412"/>
      <c r="F94" s="411"/>
      <c r="G94" s="412"/>
      <c r="H94" s="413"/>
    </row>
    <row r="95" spans="2:12" x14ac:dyDescent="0.25">
      <c r="B95" s="287" t="s">
        <v>169</v>
      </c>
      <c r="C95" s="315">
        <v>0.27877779458478291</v>
      </c>
      <c r="D95" s="315">
        <v>0.49968314321926488</v>
      </c>
      <c r="E95" s="314">
        <v>0.68586468493574859</v>
      </c>
      <c r="F95" s="315">
        <v>0.60281526628936288</v>
      </c>
      <c r="G95" s="314">
        <v>0.58374792703150913</v>
      </c>
      <c r="H95" s="315">
        <f>+C95*$C$90+D95*$D$90+E95*$E$90+F95*$F$90+G95*$G$90</f>
        <v>0.56583138261031118</v>
      </c>
    </row>
    <row r="96" spans="2:12" x14ac:dyDescent="0.25">
      <c r="B96" s="311" t="s">
        <v>174</v>
      </c>
      <c r="C96" s="313">
        <f>+C93*C95</f>
        <v>2.2053651383578052E-2</v>
      </c>
      <c r="D96" s="313">
        <f t="shared" ref="D96:G96" si="18">+D93*D95</f>
        <v>6.8002932192511995E-2</v>
      </c>
      <c r="E96" s="312">
        <f t="shared" si="18"/>
        <v>0.14877457386392123</v>
      </c>
      <c r="F96" s="313">
        <f t="shared" si="18"/>
        <v>0.14015778956082092</v>
      </c>
      <c r="G96" s="312">
        <f t="shared" si="18"/>
        <v>0.11177992629948505</v>
      </c>
      <c r="H96" s="313">
        <f>+C96*$C$90+D96*$D$90+E96*$E$90+F96*$F$90+G96*$G$90</f>
        <v>0.11073414502006959</v>
      </c>
    </row>
    <row r="97" spans="2:8" x14ac:dyDescent="0.25">
      <c r="B97" s="396" t="s">
        <v>173</v>
      </c>
      <c r="C97" s="411"/>
      <c r="D97" s="411"/>
      <c r="E97" s="412"/>
      <c r="F97" s="411"/>
      <c r="G97" s="412"/>
      <c r="H97" s="413"/>
    </row>
    <row r="98" spans="2:8" x14ac:dyDescent="0.25">
      <c r="B98" s="170" t="s">
        <v>168</v>
      </c>
      <c r="C98" s="317">
        <f>+D85</f>
        <v>-0.29995462108606868</v>
      </c>
      <c r="D98" s="317">
        <f>+E85</f>
        <v>-0.61375158428390364</v>
      </c>
      <c r="E98" s="316">
        <f>+F85</f>
        <v>-0.94813438612788359</v>
      </c>
      <c r="F98" s="317">
        <f>+G85</f>
        <v>-0.84037149905674069</v>
      </c>
      <c r="G98" s="316">
        <f>+H85</f>
        <v>-0.68325041459369817</v>
      </c>
      <c r="H98" s="317">
        <f>+C98*$C$90+D98*$D$90+E98*$E$90+F98*$F$90+G98*$G$90</f>
        <v>-0.7267530761190637</v>
      </c>
    </row>
    <row r="99" spans="2:8" x14ac:dyDescent="0.25">
      <c r="B99" s="311" t="s">
        <v>166</v>
      </c>
      <c r="C99" s="313">
        <f>+C93*C98</f>
        <v>-2.3728915189167275E-2</v>
      </c>
      <c r="D99" s="313">
        <f t="shared" ref="D99:G99" si="19">+D93*D98</f>
        <v>-8.3526746770384103E-2</v>
      </c>
      <c r="E99" s="312">
        <f t="shared" si="19"/>
        <v>-0.20566489623987666</v>
      </c>
      <c r="F99" s="313">
        <f t="shared" si="19"/>
        <v>-0.19539089055048484</v>
      </c>
      <c r="G99" s="312">
        <f t="shared" si="19"/>
        <v>-0.13083332282780635</v>
      </c>
      <c r="H99" s="313">
        <f>+C99*$C$90+D99*$D$90+E99*$E$90+F99*$F$90+G99*$G$90</f>
        <v>-0.14413260226841279</v>
      </c>
    </row>
    <row r="100" spans="2:8" x14ac:dyDescent="0.25">
      <c r="B100" s="288" t="s">
        <v>163</v>
      </c>
      <c r="C100" s="303">
        <f>+C96+C99</f>
        <v>-1.6752638055892236E-3</v>
      </c>
      <c r="D100" s="303">
        <f>+D96+D99</f>
        <v>-1.5523814577872108E-2</v>
      </c>
      <c r="E100" s="300">
        <f>+E96+E99</f>
        <v>-5.6890322375955427E-2</v>
      </c>
      <c r="F100" s="303">
        <f>+F96+F99</f>
        <v>-5.5233100989663914E-2</v>
      </c>
      <c r="G100" s="300">
        <f>+G96+G99</f>
        <v>-1.9053396528321304E-2</v>
      </c>
      <c r="H100" s="188">
        <f>+C100*$C$90+D100*$D$90+E100*$E$90+F100*$F$90+G100*$G$90</f>
        <v>-3.3398457248343193E-2</v>
      </c>
    </row>
    <row r="102" spans="2:8" x14ac:dyDescent="0.25">
      <c r="B102" s="165" t="s">
        <v>178</v>
      </c>
    </row>
    <row r="103" spans="2:8" x14ac:dyDescent="0.25">
      <c r="B103" s="396" t="s">
        <v>124</v>
      </c>
      <c r="C103" s="399">
        <v>2018</v>
      </c>
      <c r="D103" s="414">
        <v>2019</v>
      </c>
      <c r="E103" s="398">
        <v>2020</v>
      </c>
      <c r="F103" s="399">
        <v>2021</v>
      </c>
      <c r="G103" s="398">
        <v>2022</v>
      </c>
      <c r="H103" s="445" t="s">
        <v>152</v>
      </c>
    </row>
    <row r="104" spans="2:8" x14ac:dyDescent="0.25">
      <c r="B104" s="396" t="s">
        <v>149</v>
      </c>
      <c r="C104" s="403">
        <f>10/100</f>
        <v>0.1</v>
      </c>
      <c r="D104" s="402">
        <f>15/100</f>
        <v>0.15</v>
      </c>
      <c r="E104" s="403">
        <f>20/100</f>
        <v>0.2</v>
      </c>
      <c r="F104" s="402">
        <f>25/100</f>
        <v>0.25</v>
      </c>
      <c r="G104" s="403">
        <f>30/100</f>
        <v>0.3</v>
      </c>
      <c r="H104" s="447"/>
    </row>
    <row r="105" spans="2:8" x14ac:dyDescent="0.25">
      <c r="B105" s="258" t="s">
        <v>181</v>
      </c>
      <c r="C105" s="257">
        <v>-9.6164521578959355E-2</v>
      </c>
      <c r="D105" s="374">
        <v>-4.0993834448794786E-2</v>
      </c>
      <c r="E105" s="256">
        <v>-2.8848415300890162E-2</v>
      </c>
      <c r="F105" s="257">
        <v>-8.2673148148952338E-2</v>
      </c>
      <c r="G105" s="256">
        <v>-5.1429458674296387E-2</v>
      </c>
      <c r="H105" s="257">
        <f>+C105*$C$104+D105*$D$104+E105*$E$104+F105*$F$104+G105*$G$104</f>
        <v>-5.7632335024920184E-2</v>
      </c>
    </row>
    <row r="106" spans="2:8" x14ac:dyDescent="0.25">
      <c r="B106" s="166" t="s">
        <v>182</v>
      </c>
      <c r="C106" s="206">
        <v>9.0435166521785418E-2</v>
      </c>
      <c r="D106" s="375">
        <v>0.1660312119658775</v>
      </c>
      <c r="E106" s="248">
        <v>0.24923794222778645</v>
      </c>
      <c r="F106" s="259">
        <v>0.26582667771461288</v>
      </c>
      <c r="G106" s="248">
        <v>0.22626762121141639</v>
      </c>
      <c r="H106" s="206">
        <f>+C106*$C$104+D106*$D$104+E106*$E$104+F106*$F$104+G106*$G$104</f>
        <v>0.2181327426846956</v>
      </c>
    </row>
    <row r="107" spans="2:8" x14ac:dyDescent="0.25">
      <c r="B107" s="325" t="s">
        <v>180</v>
      </c>
      <c r="C107" s="319">
        <v>-5.7293550571739377E-3</v>
      </c>
      <c r="D107" s="376">
        <v>0.12503737751708272</v>
      </c>
      <c r="E107" s="318">
        <v>0.22038952692689628</v>
      </c>
      <c r="F107" s="319">
        <v>0.18315352956566056</v>
      </c>
      <c r="G107" s="318">
        <v>0.17483816253712001</v>
      </c>
      <c r="H107" s="327">
        <f>+C107*$C$104+D107*$D$104+E107*$E$104+F107*$F$104+G107*$G$104</f>
        <v>0.16050040765977541</v>
      </c>
    </row>
    <row r="108" spans="2:8" x14ac:dyDescent="0.25">
      <c r="B108" s="322" t="s">
        <v>176</v>
      </c>
      <c r="C108" s="324">
        <f>+C30</f>
        <v>8.4837705191104784E-2</v>
      </c>
      <c r="D108" s="377">
        <f>+D30</f>
        <v>1.1054730282262767E-2</v>
      </c>
      <c r="E108" s="323">
        <f>+E30</f>
        <v>-3.4741832277840751E-3</v>
      </c>
      <c r="F108" s="324">
        <f>+F30</f>
        <v>4.9351845461690705E-2</v>
      </c>
      <c r="G108" s="323">
        <f>+G30</f>
        <v>1.6648472572509204E-2</v>
      </c>
      <c r="H108" s="324">
        <f>+C108*$C$104+D108*$D$104+E108*$E$104+F108*$F$104+G108*$G$104</f>
        <v>2.6779646553068515E-2</v>
      </c>
    </row>
    <row r="109" spans="2:8" x14ac:dyDescent="0.25">
      <c r="B109" s="325" t="s">
        <v>179</v>
      </c>
      <c r="C109" s="327">
        <f>SUM(C107:C108)</f>
        <v>7.9108350133930846E-2</v>
      </c>
      <c r="D109" s="362">
        <f t="shared" ref="D109:G109" si="20">SUM(D107:D108)</f>
        <v>0.1360921077993455</v>
      </c>
      <c r="E109" s="326">
        <f t="shared" si="20"/>
        <v>0.2169153436991122</v>
      </c>
      <c r="F109" s="327">
        <f t="shared" si="20"/>
        <v>0.23250537502735125</v>
      </c>
      <c r="G109" s="326">
        <f t="shared" si="20"/>
        <v>0.19148663510962921</v>
      </c>
      <c r="H109" s="327">
        <f>+C109*$C$104+D109*$D$104+E109*$E$104+F109*$F$104+G109*$G$104</f>
        <v>0.18728005421284391</v>
      </c>
    </row>
    <row r="110" spans="2:8" x14ac:dyDescent="0.25">
      <c r="C110" s="58"/>
    </row>
    <row r="111" spans="2:8" x14ac:dyDescent="0.25">
      <c r="B111" s="396" t="s">
        <v>124</v>
      </c>
      <c r="C111" s="399">
        <v>2018</v>
      </c>
      <c r="D111" s="414">
        <v>2019</v>
      </c>
      <c r="E111" s="398">
        <v>2020</v>
      </c>
      <c r="F111" s="399">
        <v>2021</v>
      </c>
      <c r="G111" s="398">
        <v>2022</v>
      </c>
      <c r="H111" s="445" t="s">
        <v>152</v>
      </c>
    </row>
    <row r="112" spans="2:8" x14ac:dyDescent="0.25">
      <c r="B112" s="396" t="s">
        <v>149</v>
      </c>
      <c r="C112" s="403">
        <f>10/100</f>
        <v>0.1</v>
      </c>
      <c r="D112" s="404">
        <f>15/100</f>
        <v>0.15</v>
      </c>
      <c r="E112" s="402">
        <f>20/100</f>
        <v>0.2</v>
      </c>
      <c r="F112" s="403">
        <f>25/100</f>
        <v>0.25</v>
      </c>
      <c r="G112" s="402">
        <f>30/100</f>
        <v>0.3</v>
      </c>
      <c r="H112" s="446"/>
    </row>
    <row r="113" spans="2:10" x14ac:dyDescent="0.25">
      <c r="B113" s="160" t="s">
        <v>145</v>
      </c>
      <c r="C113" s="329">
        <f>+C62</f>
        <v>4.5793578372466897</v>
      </c>
      <c r="D113" s="378">
        <f>+D62</f>
        <v>2.950790069669901</v>
      </c>
      <c r="E113" s="328">
        <f>+E62</f>
        <v>2.557510961797687</v>
      </c>
      <c r="F113" s="329">
        <f>+F62</f>
        <v>2.2697079477852631</v>
      </c>
      <c r="G113" s="328">
        <f>+G62</f>
        <v>2.3264683770537249</v>
      </c>
      <c r="H113" s="329">
        <f t="shared" ref="H113:H119" si="21">+C113*$C$112+D113*$D$112+E113*$E$112+F113*$F$112+G113*$G$112</f>
        <v>2.6774239865971246</v>
      </c>
    </row>
    <row r="114" spans="2:10" x14ac:dyDescent="0.25">
      <c r="B114" s="166" t="s">
        <v>183</v>
      </c>
      <c r="C114" s="249">
        <f>+C44</f>
        <v>-2.0999564785436745E-2</v>
      </c>
      <c r="D114" s="379">
        <f>+D44</f>
        <v>-1.3892494376389401E-2</v>
      </c>
      <c r="E114" s="296">
        <f>+E44</f>
        <v>-1.1279879434265443E-2</v>
      </c>
      <c r="F114" s="249">
        <f>+F44</f>
        <v>-3.6424575342225499E-2</v>
      </c>
      <c r="G114" s="296">
        <f>+G44</f>
        <v>-2.2106235864433901E-2</v>
      </c>
      <c r="H114" s="206">
        <f t="shared" si="21"/>
        <v>-2.2177821116741717E-2</v>
      </c>
    </row>
    <row r="115" spans="2:10" x14ac:dyDescent="0.25">
      <c r="B115" s="147" t="s">
        <v>184</v>
      </c>
      <c r="C115" s="319">
        <f>+C113*C114</f>
        <v>-9.6164521578959355E-2</v>
      </c>
      <c r="D115" s="376">
        <f t="shared" ref="D115:G115" si="22">+D113*D114</f>
        <v>-4.0993834448794786E-2</v>
      </c>
      <c r="E115" s="318">
        <f t="shared" si="22"/>
        <v>-2.8848415300890162E-2</v>
      </c>
      <c r="F115" s="319">
        <f t="shared" si="22"/>
        <v>-8.2673148148952338E-2</v>
      </c>
      <c r="G115" s="318">
        <f t="shared" si="22"/>
        <v>-5.1429458674296387E-2</v>
      </c>
      <c r="H115" s="319">
        <f t="shared" si="21"/>
        <v>-5.7632335024920184E-2</v>
      </c>
    </row>
    <row r="116" spans="2:10" x14ac:dyDescent="0.25">
      <c r="B116" s="3" t="s">
        <v>185</v>
      </c>
      <c r="C116" s="249">
        <f>+C42</f>
        <v>1.4713186781526406E-2</v>
      </c>
      <c r="D116" s="379">
        <f>+D42</f>
        <v>1.6347019506206522E-2</v>
      </c>
      <c r="E116" s="296">
        <f>+E42</f>
        <v>1.7764726729615474E-2</v>
      </c>
      <c r="F116" s="249">
        <f>+F42</f>
        <v>1.9840528977051731E-2</v>
      </c>
      <c r="G116" s="296">
        <f>+G42</f>
        <v>1.8857791873821361E-2</v>
      </c>
      <c r="H116" s="206">
        <f t="shared" si="21"/>
        <v>1.8093786756416055E-2</v>
      </c>
    </row>
    <row r="117" spans="2:10" x14ac:dyDescent="0.25">
      <c r="B117" s="170" t="s">
        <v>186</v>
      </c>
      <c r="C117" s="251">
        <f>+C63</f>
        <v>6.1465383308620858</v>
      </c>
      <c r="D117" s="359">
        <f>+D63</f>
        <v>10.156665678586847</v>
      </c>
      <c r="E117" s="250">
        <f>+E63</f>
        <v>14.029933925878145</v>
      </c>
      <c r="F117" s="251">
        <f>+F63</f>
        <v>13.398164838350709</v>
      </c>
      <c r="G117" s="250">
        <f>+G63</f>
        <v>11.99862755540982</v>
      </c>
      <c r="H117" s="251">
        <f t="shared" si="21"/>
        <v>11.893269946260489</v>
      </c>
    </row>
    <row r="118" spans="2:10" x14ac:dyDescent="0.25">
      <c r="B118" s="192" t="s">
        <v>187</v>
      </c>
      <c r="C118" s="193">
        <f>+C116*C117</f>
        <v>9.0435166521785418E-2</v>
      </c>
      <c r="D118" s="195">
        <f t="shared" ref="D118:G118" si="23">+D116*D117</f>
        <v>0.1660312119658775</v>
      </c>
      <c r="E118" s="194">
        <f t="shared" si="23"/>
        <v>0.24923794222778645</v>
      </c>
      <c r="F118" s="193">
        <f t="shared" si="23"/>
        <v>0.26582667771461288</v>
      </c>
      <c r="G118" s="194">
        <f t="shared" si="23"/>
        <v>0.22626762121141639</v>
      </c>
      <c r="H118" s="193">
        <f t="shared" si="21"/>
        <v>0.2181327426846956</v>
      </c>
    </row>
    <row r="119" spans="2:10" x14ac:dyDescent="0.25">
      <c r="B119" s="147" t="s">
        <v>188</v>
      </c>
      <c r="C119" s="246">
        <f>+C118+C115</f>
        <v>-5.7293550571739377E-3</v>
      </c>
      <c r="D119" s="380">
        <f t="shared" ref="D119:G119" si="24">+D118+D115</f>
        <v>0.12503737751708272</v>
      </c>
      <c r="E119" s="244">
        <f t="shared" si="24"/>
        <v>0.22038952692689628</v>
      </c>
      <c r="F119" s="246">
        <f t="shared" si="24"/>
        <v>0.18315352956566056</v>
      </c>
      <c r="G119" s="244">
        <f t="shared" si="24"/>
        <v>0.17483816253712001</v>
      </c>
      <c r="H119" s="319">
        <f t="shared" si="21"/>
        <v>0.16050040765977541</v>
      </c>
    </row>
    <row r="121" spans="2:10" ht="13.8" customHeight="1" x14ac:dyDescent="0.25"/>
    <row r="122" spans="2:10" ht="13.8" customHeight="1" x14ac:dyDescent="0.3">
      <c r="B122" s="1" t="s">
        <v>189</v>
      </c>
    </row>
    <row r="123" spans="2:10" ht="13.8" customHeight="1" x14ac:dyDescent="0.3">
      <c r="B123" s="1" t="s">
        <v>192</v>
      </c>
    </row>
    <row r="124" spans="2:10" x14ac:dyDescent="0.25">
      <c r="B124" s="396" t="s">
        <v>189</v>
      </c>
      <c r="C124" s="399">
        <v>2018</v>
      </c>
      <c r="D124" s="399">
        <v>2019</v>
      </c>
      <c r="E124" s="398">
        <v>2020</v>
      </c>
      <c r="F124" s="399">
        <v>2021</v>
      </c>
      <c r="G124" s="398">
        <v>2022</v>
      </c>
      <c r="H124" s="445" t="s">
        <v>152</v>
      </c>
    </row>
    <row r="125" spans="2:10" x14ac:dyDescent="0.25">
      <c r="B125" s="396" t="s">
        <v>149</v>
      </c>
      <c r="C125" s="403">
        <f>10/100</f>
        <v>0.1</v>
      </c>
      <c r="D125" s="403">
        <f>15/100</f>
        <v>0.15</v>
      </c>
      <c r="E125" s="402">
        <f>20/100</f>
        <v>0.2</v>
      </c>
      <c r="F125" s="403">
        <f>25/100</f>
        <v>0.25</v>
      </c>
      <c r="G125" s="402">
        <f>30/100</f>
        <v>0.3</v>
      </c>
      <c r="H125" s="446"/>
    </row>
    <row r="126" spans="2:10" x14ac:dyDescent="0.25">
      <c r="B126" s="160" t="s">
        <v>237</v>
      </c>
      <c r="C126" s="162">
        <f>+Avkastningskrav!$C$15</f>
        <v>4.7201400000000004E-2</v>
      </c>
      <c r="D126" s="162">
        <f>+Avkastningskrav!$C$15</f>
        <v>4.7201400000000004E-2</v>
      </c>
      <c r="E126" s="161">
        <f>+Avkastningskrav!$C$15</f>
        <v>4.7201400000000004E-2</v>
      </c>
      <c r="F126" s="162">
        <f>+Avkastningskrav!$C$15</f>
        <v>4.7201400000000004E-2</v>
      </c>
      <c r="G126" s="161">
        <f>+Avkastningskrav!$C$15</f>
        <v>4.7201400000000004E-2</v>
      </c>
      <c r="H126" s="162">
        <f>+C126*$C$125+D126*$D$125+E126*$E$125+F126*$F$125+G126*$G$125</f>
        <v>4.7201400000000004E-2</v>
      </c>
      <c r="J126" s="165"/>
    </row>
    <row r="127" spans="2:10" x14ac:dyDescent="0.25">
      <c r="B127" s="3" t="s">
        <v>190</v>
      </c>
      <c r="C127" s="206">
        <f>-Atea!D16/(Atea!C68*0.5+Atea!D68*0.5)</f>
        <v>-0.624</v>
      </c>
      <c r="D127" s="206">
        <f>-Atea!E16/(Atea!D68*0.5+Atea!E68*0.5)</f>
        <v>-0.19500000000000001</v>
      </c>
      <c r="E127" s="248">
        <f>-Atea!F16/(Atea!E68*0.5+Atea!F68*0.5)</f>
        <v>-9.6694214876033066E-2</v>
      </c>
      <c r="F127" s="206">
        <f>-Atea!G16/(Atea!F68*0.5+Atea!G68*0.5)</f>
        <v>-9.9108124618204035E-2</v>
      </c>
      <c r="G127" s="248">
        <f>-Atea!H16/(Atea!G68*0.5+Atea!H68*0.5)</f>
        <v>-0.24483333333333335</v>
      </c>
      <c r="H127" s="199">
        <f t="shared" ref="H127:H129" si="25">+C127*$C$125+D127*$D$125+E127*$E$125+F127*$F$125+G127*$G$125</f>
        <v>-0.20921587412975762</v>
      </c>
      <c r="J127" s="165"/>
    </row>
    <row r="128" spans="2:10" x14ac:dyDescent="0.25">
      <c r="B128" s="7" t="s">
        <v>191</v>
      </c>
      <c r="C128" s="346">
        <f>+(Atea!C68*0.5+Atea!D68*0.5)/(Atea!C49*0.5+Atea!D49*0.5)</f>
        <v>-2.1176826501285734E-2</v>
      </c>
      <c r="D128" s="346">
        <f>+(Atea!D68*0.5+Atea!E68*0.5)/(Atea!D49*0.5+Atea!E49*0.5)</f>
        <v>-0.11406844106463879</v>
      </c>
      <c r="E128" s="345">
        <f>+(Atea!E68*0.5+Atea!F68*0.5)/(Atea!E49*0.5+Atea!F49*0.5)</f>
        <v>-0.262269701192135</v>
      </c>
      <c r="F128" s="346">
        <f>+(Atea!F68*0.5+Atea!G68*0.5)/(Atea!F49*0.5+Atea!G49*0.5)</f>
        <v>-0.23755623276737775</v>
      </c>
      <c r="G128" s="345">
        <f>+(Atea!G68*0.5+Atea!H68*0.5)/(Atea!G49*0.5+Atea!H49*0.5)</f>
        <v>-9.950248756218906E-2</v>
      </c>
      <c r="H128" s="187">
        <f t="shared" si="25"/>
        <v>-0.16092169350875254</v>
      </c>
    </row>
    <row r="129" spans="2:10" x14ac:dyDescent="0.25">
      <c r="B129" s="146" t="s">
        <v>214</v>
      </c>
      <c r="C129" s="202">
        <f>+(+C126-C127)*C128</f>
        <v>-1.4213915595220086E-2</v>
      </c>
      <c r="D129" s="202">
        <f t="shared" ref="D129:G129" si="26">+(+D126-D127)*D128</f>
        <v>-2.7627536121673006E-2</v>
      </c>
      <c r="E129" s="203">
        <f t="shared" si="26"/>
        <v>-3.7739459916395733E-2</v>
      </c>
      <c r="F129" s="202">
        <f t="shared" si="26"/>
        <v>-3.4756739486286464E-2</v>
      </c>
      <c r="G129" s="203">
        <f t="shared" si="26"/>
        <v>-2.9058182421227201E-2</v>
      </c>
      <c r="H129" s="202">
        <f t="shared" si="25"/>
        <v>-3.0520053558991882E-2</v>
      </c>
      <c r="J129" s="165"/>
    </row>
    <row r="131" spans="2:10" x14ac:dyDescent="0.25">
      <c r="J131" s="165"/>
    </row>
    <row r="132" spans="2:10" x14ac:dyDescent="0.25">
      <c r="B132" s="396" t="s">
        <v>107</v>
      </c>
      <c r="C132" s="399">
        <v>2018</v>
      </c>
      <c r="D132" s="399">
        <v>2019</v>
      </c>
      <c r="E132" s="398">
        <v>2020</v>
      </c>
      <c r="F132" s="399">
        <v>2021</v>
      </c>
      <c r="G132" s="398">
        <v>2022</v>
      </c>
      <c r="H132" s="445" t="s">
        <v>152</v>
      </c>
    </row>
    <row r="133" spans="2:10" x14ac:dyDescent="0.25">
      <c r="B133" s="396" t="s">
        <v>149</v>
      </c>
      <c r="C133" s="403">
        <f>10/100</f>
        <v>0.1</v>
      </c>
      <c r="D133" s="403">
        <f>15/100</f>
        <v>0.15</v>
      </c>
      <c r="E133" s="402">
        <f>20/100</f>
        <v>0.2</v>
      </c>
      <c r="F133" s="403">
        <f>25/100</f>
        <v>0.25</v>
      </c>
      <c r="G133" s="402">
        <f>30/100</f>
        <v>0.3</v>
      </c>
      <c r="H133" s="446"/>
    </row>
    <row r="134" spans="2:10" x14ac:dyDescent="0.25">
      <c r="B134" s="160" t="s">
        <v>124</v>
      </c>
      <c r="C134" s="342">
        <f>+C119</f>
        <v>-5.7293550571739377E-3</v>
      </c>
      <c r="D134" s="342">
        <f>+D119</f>
        <v>0.12503737751708272</v>
      </c>
      <c r="E134" s="341">
        <f>+E119</f>
        <v>0.22038952692689628</v>
      </c>
      <c r="F134" s="342">
        <f>+F119</f>
        <v>0.18315352956566056</v>
      </c>
      <c r="G134" s="341">
        <f>+G119</f>
        <v>0.17483816253712001</v>
      </c>
      <c r="H134" s="162">
        <f t="shared" ref="H134:H139" si="27">+C134*$C$125+D134*$D$125+E134*$E$125+F134*$F$125+G134*$G$125</f>
        <v>0.16050040765977541</v>
      </c>
    </row>
    <row r="135" spans="2:10" x14ac:dyDescent="0.25">
      <c r="B135" s="166" t="s">
        <v>176</v>
      </c>
      <c r="C135" s="167">
        <f>+C30</f>
        <v>8.4837705191104784E-2</v>
      </c>
      <c r="D135" s="167">
        <f>+D30</f>
        <v>1.1054730282262767E-2</v>
      </c>
      <c r="E135" s="242">
        <f>+E30</f>
        <v>-3.4741832277840751E-3</v>
      </c>
      <c r="F135" s="167">
        <f>+F30</f>
        <v>4.9351845461690705E-2</v>
      </c>
      <c r="G135" s="242">
        <f>+G30</f>
        <v>1.6648472572509204E-2</v>
      </c>
      <c r="H135" s="199">
        <f t="shared" si="27"/>
        <v>2.6779646553068515E-2</v>
      </c>
    </row>
    <row r="136" spans="2:10" x14ac:dyDescent="0.25">
      <c r="B136" s="170" t="s">
        <v>216</v>
      </c>
      <c r="C136" s="207">
        <f>+C82*C109</f>
        <v>-1.6752638055892177E-3</v>
      </c>
      <c r="D136" s="207">
        <f>+D82*D109</f>
        <v>-1.552381457787211E-2</v>
      </c>
      <c r="E136" s="205">
        <f>+E82*E109</f>
        <v>-5.689032237595542E-2</v>
      </c>
      <c r="F136" s="207">
        <f>+F82*F109</f>
        <v>-5.5233100989663914E-2</v>
      </c>
      <c r="G136" s="205">
        <f>+G82*G109</f>
        <v>-1.9053396528321314E-2</v>
      </c>
      <c r="H136" s="187">
        <f t="shared" si="27"/>
        <v>-3.33984572483432E-2</v>
      </c>
    </row>
    <row r="137" spans="2:10" x14ac:dyDescent="0.25">
      <c r="B137" s="347" t="s">
        <v>215</v>
      </c>
      <c r="C137" s="349">
        <f>+C134+C135+C136</f>
        <v>7.743308632834163E-2</v>
      </c>
      <c r="D137" s="349">
        <f t="shared" ref="D137:G137" si="28">+D134+D135+D136</f>
        <v>0.12056829322147339</v>
      </c>
      <c r="E137" s="348">
        <f t="shared" si="28"/>
        <v>0.16002502132315677</v>
      </c>
      <c r="F137" s="349">
        <f t="shared" si="28"/>
        <v>0.17727227403768733</v>
      </c>
      <c r="G137" s="348">
        <f t="shared" si="28"/>
        <v>0.17243323858130791</v>
      </c>
      <c r="H137" s="350">
        <f t="shared" si="27"/>
        <v>0.15388159696450074</v>
      </c>
    </row>
    <row r="138" spans="2:10" x14ac:dyDescent="0.25">
      <c r="B138" s="170" t="s">
        <v>217</v>
      </c>
      <c r="C138" s="207">
        <f>+C129</f>
        <v>-1.4213915595220086E-2</v>
      </c>
      <c r="D138" s="207">
        <f>+D129</f>
        <v>-2.7627536121673006E-2</v>
      </c>
      <c r="E138" s="205">
        <f>+E129</f>
        <v>-3.7739459916395733E-2</v>
      </c>
      <c r="F138" s="207">
        <f>+F129</f>
        <v>-3.4756739486286464E-2</v>
      </c>
      <c r="G138" s="205">
        <f>+G129</f>
        <v>-2.9058182421227201E-2</v>
      </c>
      <c r="H138" s="187">
        <f t="shared" si="27"/>
        <v>-3.0520053558991882E-2</v>
      </c>
    </row>
    <row r="139" spans="2:10" x14ac:dyDescent="0.25">
      <c r="B139" s="192" t="s">
        <v>218</v>
      </c>
      <c r="C139" s="344">
        <f>SUM(C137:C138)</f>
        <v>6.3219170733121541E-2</v>
      </c>
      <c r="D139" s="344">
        <f t="shared" ref="D139:G139" si="29">SUM(D137:D138)</f>
        <v>9.2940757099800375E-2</v>
      </c>
      <c r="E139" s="343">
        <f t="shared" si="29"/>
        <v>0.12228556140676103</v>
      </c>
      <c r="F139" s="344">
        <f t="shared" si="29"/>
        <v>0.14251553455140087</v>
      </c>
      <c r="G139" s="343">
        <f t="shared" si="29"/>
        <v>0.1433750561600807</v>
      </c>
      <c r="H139" s="202">
        <f t="shared" si="27"/>
        <v>0.12336154340550884</v>
      </c>
    </row>
    <row r="140" spans="2:10" x14ac:dyDescent="0.25">
      <c r="I140" s="205"/>
    </row>
    <row r="141" spans="2:10" x14ac:dyDescent="0.25">
      <c r="B141" s="165"/>
    </row>
    <row r="142" spans="2:10" x14ac:dyDescent="0.25">
      <c r="B142" s="396" t="s">
        <v>244</v>
      </c>
      <c r="C142" s="399">
        <v>2018</v>
      </c>
      <c r="D142" s="399">
        <v>2019</v>
      </c>
      <c r="E142" s="398">
        <v>2020</v>
      </c>
      <c r="F142" s="399">
        <v>2021</v>
      </c>
      <c r="G142" s="398">
        <v>2022</v>
      </c>
      <c r="H142" s="445" t="s">
        <v>152</v>
      </c>
    </row>
    <row r="143" spans="2:10" x14ac:dyDescent="0.25">
      <c r="B143" s="396" t="s">
        <v>149</v>
      </c>
      <c r="C143" s="403">
        <f>10/100</f>
        <v>0.1</v>
      </c>
      <c r="D143" s="403">
        <f>15/100</f>
        <v>0.15</v>
      </c>
      <c r="E143" s="402">
        <f>20/100</f>
        <v>0.2</v>
      </c>
      <c r="F143" s="403">
        <f>25/100</f>
        <v>0.25</v>
      </c>
      <c r="G143" s="402">
        <f>30/100</f>
        <v>0.3</v>
      </c>
      <c r="H143" s="446"/>
    </row>
    <row r="144" spans="2:10" x14ac:dyDescent="0.25">
      <c r="B144" s="160" t="s">
        <v>238</v>
      </c>
      <c r="C144" s="162">
        <f>+C152</f>
        <v>4.7201400000000004E-2</v>
      </c>
      <c r="D144" s="162">
        <f t="shared" ref="D144:G144" si="30">+D152</f>
        <v>4.7201400000000004E-2</v>
      </c>
      <c r="E144" s="161">
        <f t="shared" si="30"/>
        <v>4.7201400000000004E-2</v>
      </c>
      <c r="F144" s="162">
        <f t="shared" si="30"/>
        <v>4.7201400000000004E-2</v>
      </c>
      <c r="G144" s="161">
        <f t="shared" si="30"/>
        <v>4.7201400000000004E-2</v>
      </c>
      <c r="H144" s="162">
        <f>+C144*$C$143+D144*$D$143+E144*$E$143+F144*$F$143+G144*$G$143</f>
        <v>4.7201400000000004E-2</v>
      </c>
    </row>
    <row r="145" spans="2:8" x14ac:dyDescent="0.25">
      <c r="B145" s="3" t="s">
        <v>241</v>
      </c>
      <c r="C145" s="199">
        <f>+(Atea!D13*0.78)/(Atea!C67*0.5+Atea!D67*0.5)</f>
        <v>7.8668683812405452E-3</v>
      </c>
      <c r="D145" s="199">
        <f>+(Atea!E13*0.78)/(Atea!D67*0.5+Atea!E67*0.5)</f>
        <v>6.8456375838926173E-3</v>
      </c>
      <c r="E145" s="200">
        <f>+(Atea!F13*0.78)/(Atea!E67*0.5+Atea!F67*0.5)</f>
        <v>3.0568256041802739E-3</v>
      </c>
      <c r="F145" s="199">
        <f>+(Atea!G13*0.78)/(Atea!F67*0.5+Atea!G67*0.5)</f>
        <v>3.7713693662579867E-3</v>
      </c>
      <c r="G145" s="200">
        <f>+(Atea!H13*0.78)/(Atea!G67*0.5+Atea!H67*0.5)</f>
        <v>2.5242718446601945E-3</v>
      </c>
      <c r="H145" s="199">
        <f t="shared" ref="H145:H146" si="31">+C145*$C$143+D145*$D$143+E145*$E$143+F145*$F$143+G145*$G$143</f>
        <v>4.1250214915065572E-3</v>
      </c>
    </row>
    <row r="146" spans="2:8" x14ac:dyDescent="0.25">
      <c r="B146" s="7" t="s">
        <v>240</v>
      </c>
      <c r="C146" s="346">
        <f>+(Atea!C67*0.5+Atea!D67*0.5)/(Atea!C49*0.5+Atea!D49*0.5)</f>
        <v>0.29995462108606868</v>
      </c>
      <c r="D146" s="346">
        <f>+(Atea!D67*0.5+Atea!E67*0.5)/(Atea!D49*0.5+Atea!E49*0.5)</f>
        <v>0.61375158428390364</v>
      </c>
      <c r="E146" s="345">
        <f>+(Atea!E67*0.5+Atea!F67*0.5)/(Atea!E49*0.5+Atea!F49*0.5)</f>
        <v>0.94813438612788359</v>
      </c>
      <c r="F146" s="346">
        <f>+(Atea!F67*0.5+Atea!G67*0.5)/(Atea!F49*0.5+Atea!G49*0.5)</f>
        <v>0.84037149905674069</v>
      </c>
      <c r="G146" s="345">
        <f>+(Atea!G67*0.5+Atea!H67*0.5)/(Atea!G49*0.5+Atea!H49*0.5)</f>
        <v>0.68325041459369817</v>
      </c>
      <c r="H146" s="187">
        <f t="shared" si="31"/>
        <v>0.7267530761190637</v>
      </c>
    </row>
    <row r="147" spans="2:8" x14ac:dyDescent="0.25">
      <c r="B147" s="146" t="s">
        <v>214</v>
      </c>
      <c r="C147" s="202">
        <f>+(C145-C144)*C146</f>
        <v>-1.1798574527302982E-2</v>
      </c>
      <c r="D147" s="202">
        <f t="shared" ref="D147:G147" si="32">+(D145-D144)*D146</f>
        <v>-2.4768413117870723E-2</v>
      </c>
      <c r="E147" s="202">
        <f t="shared" si="32"/>
        <v>-4.1854988945657229E-2</v>
      </c>
      <c r="F147" s="202">
        <f t="shared" si="32"/>
        <v>-3.6497359947757949E-2</v>
      </c>
      <c r="G147" s="202">
        <f t="shared" si="32"/>
        <v>-3.0525666334991708E-2</v>
      </c>
      <c r="H147" s="202">
        <f>+C147*$C$143+D147*$D$143+E147*$E$143+F147*$F$143+G147*$G$143</f>
        <v>-3.1548157096979348E-2</v>
      </c>
    </row>
    <row r="149" spans="2:8" x14ac:dyDescent="0.25">
      <c r="B149" s="165"/>
    </row>
    <row r="150" spans="2:8" x14ac:dyDescent="0.25">
      <c r="B150" s="396" t="s">
        <v>245</v>
      </c>
      <c r="C150" s="399">
        <v>2018</v>
      </c>
      <c r="D150" s="399">
        <v>2019</v>
      </c>
      <c r="E150" s="398">
        <v>2020</v>
      </c>
      <c r="F150" s="399">
        <v>2021</v>
      </c>
      <c r="G150" s="398">
        <v>2022</v>
      </c>
      <c r="H150" s="445" t="s">
        <v>152</v>
      </c>
    </row>
    <row r="151" spans="2:8" x14ac:dyDescent="0.25">
      <c r="B151" s="396" t="s">
        <v>149</v>
      </c>
      <c r="C151" s="403">
        <f>10/100</f>
        <v>0.1</v>
      </c>
      <c r="D151" s="403">
        <f>15/100</f>
        <v>0.15</v>
      </c>
      <c r="E151" s="402">
        <f>20/100</f>
        <v>0.2</v>
      </c>
      <c r="F151" s="403">
        <f>25/100</f>
        <v>0.25</v>
      </c>
      <c r="G151" s="402">
        <f>30/100</f>
        <v>0.3</v>
      </c>
      <c r="H151" s="446"/>
    </row>
    <row r="152" spans="2:8" x14ac:dyDescent="0.25">
      <c r="B152" s="160" t="s">
        <v>239</v>
      </c>
      <c r="C152" s="162">
        <f>+Avkastningskrav!$C$57</f>
        <v>4.7201400000000004E-2</v>
      </c>
      <c r="D152" s="162">
        <f>+Avkastningskrav!$C$57</f>
        <v>4.7201400000000004E-2</v>
      </c>
      <c r="E152" s="162">
        <f>+Avkastningskrav!$C$57</f>
        <v>4.7201400000000004E-2</v>
      </c>
      <c r="F152" s="162">
        <f>+Avkastningskrav!$C$57</f>
        <v>4.7201400000000004E-2</v>
      </c>
      <c r="G152" s="162">
        <f>+Avkastningskrav!$C$57</f>
        <v>4.7201400000000004E-2</v>
      </c>
      <c r="H152" s="162">
        <f>+C152*$C$151+D152*$D$151+E152*$E$151+F152*$F$151+G152*$G$151</f>
        <v>4.7201400000000004E-2</v>
      </c>
    </row>
    <row r="153" spans="2:8" x14ac:dyDescent="0.25">
      <c r="B153" s="3" t="s">
        <v>242</v>
      </c>
      <c r="C153" s="206">
        <f>-(Atea!D14*0.78)/(Atea!C59*0.5+Atea!D59*0.5)</f>
        <v>5.5865436787845911E-2</v>
      </c>
      <c r="D153" s="206">
        <f>-(Atea!E14*0.78)/(Atea!D59*0.5+Atea!E59*0.5)</f>
        <v>5.292327203551047E-2</v>
      </c>
      <c r="E153" s="248">
        <f>-(Atea!F14*0.78)/(Atea!E59*0.5+Atea!F59*0.5)</f>
        <v>4.1200902934537251E-2</v>
      </c>
      <c r="F153" s="206">
        <f>-(Atea!G14*0.78)/(Atea!F59*0.5+Atea!G59*0.5)</f>
        <v>4.4313914299470396E-2</v>
      </c>
      <c r="G153" s="248">
        <f>-(Atea!H14*0.78)/(Atea!G59*0.5+Atea!H59*0.5)</f>
        <v>4.4687500000000005E-2</v>
      </c>
      <c r="H153" s="199">
        <f t="shared" ref="H153:H154" si="33">+C153*$C$151+D153*$D$151+E153*$E$151+F153*$F$151+G153*$G$151</f>
        <v>4.6249943645886214E-2</v>
      </c>
    </row>
    <row r="154" spans="2:8" x14ac:dyDescent="0.25">
      <c r="B154" s="7" t="s">
        <v>243</v>
      </c>
      <c r="C154" s="346">
        <f>+(Atea!C59*0.5+Atea!D59*0.5)/(Atea!C49*0.5+Atea!D49*0.5)</f>
        <v>0.27877779458478291</v>
      </c>
      <c r="D154" s="346">
        <f>+(Atea!D59*0.5+Atea!E59*0.5)/(Atea!D49*0.5+Atea!E49*0.5)</f>
        <v>0.49968314321926488</v>
      </c>
      <c r="E154" s="345">
        <f>+(Atea!E59*0.5+Atea!F59*0.5)/(Atea!E49*0.5+Atea!F49*0.5)</f>
        <v>0.68586468493574859</v>
      </c>
      <c r="F154" s="346">
        <f>+(Atea!F59*0.5+Atea!G59*0.5)/(Atea!F49*0.5+Atea!G49*0.5)</f>
        <v>0.60281526628936288</v>
      </c>
      <c r="G154" s="345">
        <f>+(Atea!G59*0.5+Atea!H59*0.5)/(Atea!G49*0.5+Atea!H49*0.5)</f>
        <v>0.58374792703150913</v>
      </c>
      <c r="H154" s="187">
        <f t="shared" si="33"/>
        <v>0.56583138261031118</v>
      </c>
    </row>
    <row r="155" spans="2:8" x14ac:dyDescent="0.25">
      <c r="B155" s="146" t="s">
        <v>214</v>
      </c>
      <c r="C155" s="202">
        <f>+(C152-C153)*C154</f>
        <v>-2.4153410679171087E-3</v>
      </c>
      <c r="D155" s="202">
        <f>+(D152-D153)*D154</f>
        <v>-2.8591230038022826E-3</v>
      </c>
      <c r="E155" s="202">
        <f t="shared" ref="E155:G155" si="34">+(E152-E153)*E154</f>
        <v>4.1155290292614957E-3</v>
      </c>
      <c r="F155" s="202">
        <f t="shared" si="34"/>
        <v>1.7406204614714837E-3</v>
      </c>
      <c r="G155" s="202">
        <f t="shared" si="34"/>
        <v>1.4674839137645106E-3</v>
      </c>
      <c r="H155" s="202">
        <f>+C155*$C$151+D155*$D$151+E155*$E$151+F155*$F$151+G155*$G$151</f>
        <v>1.0281035379874699E-3</v>
      </c>
    </row>
    <row r="157" spans="2:8" x14ac:dyDescent="0.25">
      <c r="C157" s="205"/>
      <c r="D157" s="205"/>
      <c r="E157" s="205"/>
      <c r="F157" s="205"/>
      <c r="G157" s="205"/>
    </row>
    <row r="158" spans="2:8" x14ac:dyDescent="0.25">
      <c r="C158" s="205"/>
      <c r="D158" s="205"/>
      <c r="E158" s="205"/>
      <c r="F158" s="205"/>
      <c r="G158" s="205"/>
      <c r="H158" s="205"/>
    </row>
    <row r="160" spans="2:8" x14ac:dyDescent="0.25">
      <c r="C160" s="205"/>
      <c r="D160" s="205"/>
      <c r="E160" s="205"/>
      <c r="F160" s="205"/>
      <c r="G160" s="205"/>
    </row>
  </sheetData>
  <mergeCells count="14">
    <mergeCell ref="K48:K49"/>
    <mergeCell ref="H59:H60"/>
    <mergeCell ref="H26:H27"/>
    <mergeCell ref="B11:H11"/>
    <mergeCell ref="H142:H143"/>
    <mergeCell ref="H150:H151"/>
    <mergeCell ref="H132:H133"/>
    <mergeCell ref="H33:H34"/>
    <mergeCell ref="H40:H41"/>
    <mergeCell ref="H124:H125"/>
    <mergeCell ref="H77:H78"/>
    <mergeCell ref="H89:H90"/>
    <mergeCell ref="H103:H104"/>
    <mergeCell ref="H111:H112"/>
  </mergeCells>
  <pageMargins left="0.7" right="0.7" top="0.75" bottom="0.75" header="0.3" footer="0.3"/>
  <pageSetup orientation="portrait" r:id="rId1"/>
  <ignoredErrors>
    <ignoredError sqref="C73:G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Atea</vt:lpstr>
      <vt:lpstr>Bransje</vt:lpstr>
      <vt:lpstr>Avkastningskrav</vt:lpstr>
      <vt:lpstr>Rentabilitetsanalyse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Nøstdahl</dc:creator>
  <cp:lastModifiedBy>Thomas Nøstdahl</cp:lastModifiedBy>
  <dcterms:created xsi:type="dcterms:W3CDTF">2015-06-05T18:17:20Z</dcterms:created>
  <dcterms:modified xsi:type="dcterms:W3CDTF">2024-05-13T11:02:46Z</dcterms:modified>
</cp:coreProperties>
</file>