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Hp\Desktop\Thesis\Excel Sheets\"/>
    </mc:Choice>
  </mc:AlternateContent>
  <xr:revisionPtr revIDLastSave="0" documentId="13_ncr:1_{23287572-D612-4D16-A9C2-584A82DE3BB1}" xr6:coauthVersionLast="47" xr6:coauthVersionMax="47" xr10:uidLastSave="{00000000-0000-0000-0000-000000000000}"/>
  <bookViews>
    <workbookView xWindow="-120" yWindow="-120" windowWidth="20730" windowHeight="11040" xr2:uid="{C75CBAC1-4464-46F1-B6FD-F528A03C621A}"/>
  </bookViews>
  <sheets>
    <sheet name="Financial Analysis"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7" i="1" l="1"/>
  <c r="B109" i="1" l="1"/>
  <c r="B108" i="1"/>
  <c r="M326" i="1" l="1"/>
  <c r="N326" i="1"/>
  <c r="O326" i="1"/>
  <c r="P326" i="1"/>
  <c r="Q326" i="1"/>
  <c r="R326" i="1"/>
  <c r="S326" i="1"/>
  <c r="T326" i="1"/>
  <c r="U326" i="1"/>
  <c r="V326" i="1"/>
  <c r="B246" i="1" l="1"/>
  <c r="C25" i="1"/>
  <c r="B118" i="1" l="1"/>
  <c r="C21" i="1"/>
  <c r="L220" i="1" s="1"/>
  <c r="C19" i="1"/>
  <c r="C18" i="1"/>
  <c r="B290" i="1"/>
  <c r="C286" i="1"/>
  <c r="D286" i="1" s="1"/>
  <c r="E286" i="1" s="1"/>
  <c r="F286" i="1" s="1"/>
  <c r="G286" i="1" s="1"/>
  <c r="H286" i="1" s="1"/>
  <c r="I286" i="1" s="1"/>
  <c r="J286" i="1" s="1"/>
  <c r="K286" i="1" s="1"/>
  <c r="L286" i="1" s="1"/>
  <c r="M286" i="1" s="1"/>
  <c r="N286" i="1" s="1"/>
  <c r="O286" i="1" s="1"/>
  <c r="P286" i="1" s="1"/>
  <c r="Q286" i="1" s="1"/>
  <c r="R286" i="1" s="1"/>
  <c r="S286" i="1" s="1"/>
  <c r="T286" i="1" s="1"/>
  <c r="U286" i="1" s="1"/>
  <c r="V286" i="1" s="1"/>
  <c r="B248" i="1"/>
  <c r="E213" i="1"/>
  <c r="F212" i="1" s="1"/>
  <c r="O284" i="1" s="1"/>
  <c r="E210" i="1"/>
  <c r="E209" i="1"/>
  <c r="E208" i="1"/>
  <c r="E202" i="1"/>
  <c r="D202" i="1"/>
  <c r="E201" i="1"/>
  <c r="D201" i="1"/>
  <c r="E198" i="1"/>
  <c r="L275" i="1" s="1"/>
  <c r="D189" i="1"/>
  <c r="B188" i="1"/>
  <c r="D188" i="1" s="1"/>
  <c r="B187" i="1"/>
  <c r="D187" i="1" s="1"/>
  <c r="B186" i="1"/>
  <c r="D186" i="1" s="1"/>
  <c r="B185" i="1"/>
  <c r="D185" i="1" s="1"/>
  <c r="B184" i="1"/>
  <c r="D184" i="1" s="1"/>
  <c r="D182" i="1"/>
  <c r="D181" i="1"/>
  <c r="D180" i="1"/>
  <c r="D179" i="1"/>
  <c r="D178" i="1"/>
  <c r="D177" i="1"/>
  <c r="D176" i="1"/>
  <c r="D166" i="1"/>
  <c r="D167" i="1" s="1"/>
  <c r="E165" i="1"/>
  <c r="E164" i="1"/>
  <c r="E163" i="1"/>
  <c r="E162" i="1"/>
  <c r="E161" i="1"/>
  <c r="E160" i="1"/>
  <c r="E159" i="1"/>
  <c r="E158" i="1"/>
  <c r="E157" i="1"/>
  <c r="C153" i="1"/>
  <c r="D151" i="1"/>
  <c r="D150" i="1"/>
  <c r="D149" i="1"/>
  <c r="D147" i="1"/>
  <c r="E146" i="1" s="1"/>
  <c r="B242" i="1" s="1"/>
  <c r="D145" i="1"/>
  <c r="D144" i="1"/>
  <c r="D143" i="1"/>
  <c r="D142" i="1"/>
  <c r="D141" i="1"/>
  <c r="D140" i="1"/>
  <c r="D139" i="1"/>
  <c r="D138" i="1"/>
  <c r="D137" i="1"/>
  <c r="D136" i="1"/>
  <c r="D135" i="1"/>
  <c r="D134" i="1"/>
  <c r="D133" i="1"/>
  <c r="D131" i="1"/>
  <c r="D130" i="1"/>
  <c r="D129" i="1"/>
  <c r="D128" i="1"/>
  <c r="D127" i="1"/>
  <c r="D126" i="1"/>
  <c r="D125" i="1"/>
  <c r="A63" i="1"/>
  <c r="A38" i="1"/>
  <c r="D35" i="1"/>
  <c r="C35" i="1"/>
  <c r="B35" i="1"/>
  <c r="A35" i="1"/>
  <c r="C28" i="1"/>
  <c r="C5" i="1"/>
  <c r="C4" i="1"/>
  <c r="E148" i="1" l="1"/>
  <c r="E175" i="1"/>
  <c r="H285" i="1" s="1"/>
  <c r="C38" i="1"/>
  <c r="B58" i="1"/>
  <c r="C36" i="1"/>
  <c r="D214" i="1"/>
  <c r="D215" i="1" s="1"/>
  <c r="E124" i="1"/>
  <c r="F197" i="1"/>
  <c r="B37" i="1"/>
  <c r="B38" i="1"/>
  <c r="E132" i="1"/>
  <c r="A39" i="1"/>
  <c r="A40" i="1" s="1"/>
  <c r="C40" i="1" s="1"/>
  <c r="C58" i="1"/>
  <c r="B36" i="1"/>
  <c r="K275" i="1"/>
  <c r="C6" i="1"/>
  <c r="C7"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N275" i="1"/>
  <c r="L225" i="1"/>
  <c r="M271" i="1" s="1"/>
  <c r="C30" i="1"/>
  <c r="A41" i="1"/>
  <c r="C41" i="1" s="1"/>
  <c r="B40" i="1"/>
  <c r="D174" i="1"/>
  <c r="E206" i="1"/>
  <c r="D58" i="1"/>
  <c r="C22" i="1"/>
  <c r="C24" i="1" s="1"/>
  <c r="A64" i="1"/>
  <c r="F199" i="1"/>
  <c r="D220" i="1"/>
  <c r="D225" i="1" s="1"/>
  <c r="D38" i="1"/>
  <c r="C190" i="1"/>
  <c r="J220" i="1"/>
  <c r="J225" i="1" s="1"/>
  <c r="B220" i="1"/>
  <c r="B225" i="1" s="1"/>
  <c r="C37" i="1"/>
  <c r="Q220" i="1"/>
  <c r="Q225" i="1" s="1"/>
  <c r="I220" i="1"/>
  <c r="I225" i="1" s="1"/>
  <c r="P220" i="1"/>
  <c r="P225" i="1" s="1"/>
  <c r="H220" i="1"/>
  <c r="H225" i="1" s="1"/>
  <c r="O220" i="1"/>
  <c r="O225" i="1" s="1"/>
  <c r="G220" i="1"/>
  <c r="G225" i="1" s="1"/>
  <c r="N220" i="1"/>
  <c r="N225" i="1" s="1"/>
  <c r="F220" i="1"/>
  <c r="F225" i="1" s="1"/>
  <c r="U220" i="1"/>
  <c r="U225" i="1" s="1"/>
  <c r="M220" i="1"/>
  <c r="M225" i="1" s="1"/>
  <c r="E220" i="1"/>
  <c r="E225" i="1" s="1"/>
  <c r="S220" i="1"/>
  <c r="S225" i="1" s="1"/>
  <c r="K220" i="1"/>
  <c r="K225" i="1" s="1"/>
  <c r="C220" i="1"/>
  <c r="C225" i="1" s="1"/>
  <c r="D36" i="1"/>
  <c r="C26" i="1"/>
  <c r="D37" i="1"/>
  <c r="E166" i="1"/>
  <c r="E211" i="1"/>
  <c r="F207" i="1" s="1"/>
  <c r="R220" i="1"/>
  <c r="R225" i="1" s="1"/>
  <c r="S284" i="1"/>
  <c r="K284" i="1"/>
  <c r="C284" i="1"/>
  <c r="Q284" i="1"/>
  <c r="I284" i="1"/>
  <c r="V284" i="1"/>
  <c r="N284" i="1"/>
  <c r="F284" i="1"/>
  <c r="J284" i="1"/>
  <c r="U284" i="1"/>
  <c r="H284" i="1"/>
  <c r="T284" i="1"/>
  <c r="G284" i="1"/>
  <c r="R284" i="1"/>
  <c r="E284" i="1"/>
  <c r="P284" i="1"/>
  <c r="D284" i="1"/>
  <c r="M284" i="1"/>
  <c r="L284" i="1"/>
  <c r="T220" i="1"/>
  <c r="T225" i="1" s="1"/>
  <c r="O275" i="1"/>
  <c r="G275" i="1"/>
  <c r="U275" i="1"/>
  <c r="M275" i="1"/>
  <c r="E275" i="1"/>
  <c r="R275" i="1"/>
  <c r="J275" i="1"/>
  <c r="C275" i="1"/>
  <c r="P275" i="1"/>
  <c r="D275" i="1"/>
  <c r="Q275" i="1"/>
  <c r="F275" i="1"/>
  <c r="S275" i="1"/>
  <c r="H275" i="1"/>
  <c r="T275" i="1"/>
  <c r="I275" i="1"/>
  <c r="V275" i="1"/>
  <c r="B240" i="1" l="1"/>
  <c r="B307" i="1" s="1"/>
  <c r="C39" i="1"/>
  <c r="E205" i="1"/>
  <c r="B241" i="1"/>
  <c r="C257" i="1" s="1"/>
  <c r="B243" i="1"/>
  <c r="B310" i="1" s="1"/>
  <c r="N285" i="1"/>
  <c r="G285" i="1"/>
  <c r="T285" i="1"/>
  <c r="D285" i="1"/>
  <c r="C285" i="1"/>
  <c r="O285" i="1"/>
  <c r="F285" i="1"/>
  <c r="P285" i="1"/>
  <c r="S285" i="1"/>
  <c r="J285" i="1"/>
  <c r="I285" i="1"/>
  <c r="R285" i="1"/>
  <c r="V285" i="1"/>
  <c r="E285" i="1"/>
  <c r="Q285" i="1"/>
  <c r="K285" i="1"/>
  <c r="M285" i="1"/>
  <c r="L285" i="1"/>
  <c r="U285" i="1"/>
  <c r="B39" i="1"/>
  <c r="E204" i="1"/>
  <c r="B62" i="1"/>
  <c r="D62" i="1" s="1"/>
  <c r="E62" i="1" s="1"/>
  <c r="D172" i="1"/>
  <c r="B82" i="1"/>
  <c r="D173" i="1"/>
  <c r="F221" i="1"/>
  <c r="F226" i="1" s="1"/>
  <c r="G272" i="1" s="1"/>
  <c r="N221" i="1"/>
  <c r="N226" i="1" s="1"/>
  <c r="O272" i="1" s="1"/>
  <c r="G221" i="1"/>
  <c r="G226" i="1" s="1"/>
  <c r="H272" i="1" s="1"/>
  <c r="O221" i="1"/>
  <c r="O226" i="1" s="1"/>
  <c r="P272" i="1" s="1"/>
  <c r="D221" i="1"/>
  <c r="D226" i="1" s="1"/>
  <c r="E272" i="1" s="1"/>
  <c r="E221" i="1"/>
  <c r="E226" i="1" s="1"/>
  <c r="F272" i="1" s="1"/>
  <c r="C221" i="1"/>
  <c r="C226" i="1" s="1"/>
  <c r="D272" i="1" s="1"/>
  <c r="H221" i="1"/>
  <c r="H226" i="1" s="1"/>
  <c r="I272" i="1" s="1"/>
  <c r="P221" i="1"/>
  <c r="P226" i="1" s="1"/>
  <c r="Q272" i="1" s="1"/>
  <c r="I221" i="1"/>
  <c r="I226" i="1" s="1"/>
  <c r="J272" i="1" s="1"/>
  <c r="Q221" i="1"/>
  <c r="Q226" i="1" s="1"/>
  <c r="R272" i="1" s="1"/>
  <c r="B221" i="1"/>
  <c r="B226" i="1" s="1"/>
  <c r="C272" i="1" s="1"/>
  <c r="K221" i="1"/>
  <c r="K226" i="1" s="1"/>
  <c r="L272" i="1" s="1"/>
  <c r="J221" i="1"/>
  <c r="J226" i="1" s="1"/>
  <c r="K272" i="1" s="1"/>
  <c r="R221" i="1"/>
  <c r="R226" i="1" s="1"/>
  <c r="S272" i="1" s="1"/>
  <c r="S221" i="1"/>
  <c r="S226" i="1" s="1"/>
  <c r="T272" i="1" s="1"/>
  <c r="L221" i="1"/>
  <c r="L226" i="1" s="1"/>
  <c r="M272" i="1" s="1"/>
  <c r="T221" i="1"/>
  <c r="T226" i="1" s="1"/>
  <c r="U272" i="1" s="1"/>
  <c r="M221" i="1"/>
  <c r="M226" i="1" s="1"/>
  <c r="N272" i="1" s="1"/>
  <c r="U221" i="1"/>
  <c r="U226" i="1" s="1"/>
  <c r="D152" i="1"/>
  <c r="B233" i="1" s="1"/>
  <c r="D39" i="1"/>
  <c r="D40" i="1"/>
  <c r="B64" i="1" s="1"/>
  <c r="D64" i="1" s="1"/>
  <c r="L271" i="1"/>
  <c r="I271" i="1"/>
  <c r="O271" i="1"/>
  <c r="D271" i="1"/>
  <c r="H271" i="1"/>
  <c r="R271" i="1"/>
  <c r="T271" i="1"/>
  <c r="S282" i="1"/>
  <c r="K282" i="1"/>
  <c r="C282" i="1"/>
  <c r="Q282" i="1"/>
  <c r="I282" i="1"/>
  <c r="V282" i="1"/>
  <c r="N282" i="1"/>
  <c r="F282" i="1"/>
  <c r="L282" i="1"/>
  <c r="J282" i="1"/>
  <c r="U282" i="1"/>
  <c r="H282" i="1"/>
  <c r="T282" i="1"/>
  <c r="G282" i="1"/>
  <c r="R282" i="1"/>
  <c r="E282" i="1"/>
  <c r="O282" i="1"/>
  <c r="M282" i="1"/>
  <c r="P282" i="1"/>
  <c r="D282" i="1"/>
  <c r="K271" i="1"/>
  <c r="C191" i="1"/>
  <c r="C192" i="1" s="1"/>
  <c r="D190" i="1"/>
  <c r="E183" i="1" s="1"/>
  <c r="S276" i="1"/>
  <c r="S277" i="1" s="1"/>
  <c r="K276" i="1"/>
  <c r="K277" i="1" s="1"/>
  <c r="C276" i="1"/>
  <c r="C277" i="1" s="1"/>
  <c r="Q276" i="1"/>
  <c r="Q277" i="1" s="1"/>
  <c r="I276" i="1"/>
  <c r="I277" i="1" s="1"/>
  <c r="V276" i="1"/>
  <c r="V277" i="1" s="1"/>
  <c r="N276" i="1"/>
  <c r="N277" i="1" s="1"/>
  <c r="F276" i="1"/>
  <c r="F277" i="1" s="1"/>
  <c r="O276" i="1"/>
  <c r="O277" i="1" s="1"/>
  <c r="M276" i="1"/>
  <c r="M277" i="1" s="1"/>
  <c r="L276" i="1"/>
  <c r="L277" i="1" s="1"/>
  <c r="J276" i="1"/>
  <c r="J277" i="1" s="1"/>
  <c r="U276" i="1"/>
  <c r="U277" i="1" s="1"/>
  <c r="H276" i="1"/>
  <c r="H277" i="1" s="1"/>
  <c r="R276" i="1"/>
  <c r="R277" i="1" s="1"/>
  <c r="E276" i="1"/>
  <c r="E277" i="1" s="1"/>
  <c r="T276" i="1"/>
  <c r="T277" i="1" s="1"/>
  <c r="P276" i="1"/>
  <c r="P277" i="1" s="1"/>
  <c r="G276" i="1"/>
  <c r="G277" i="1" s="1"/>
  <c r="D276" i="1"/>
  <c r="D277" i="1" s="1"/>
  <c r="S271" i="1"/>
  <c r="A42" i="1"/>
  <c r="B41" i="1"/>
  <c r="B309" i="1"/>
  <c r="C258" i="1"/>
  <c r="P271" i="1"/>
  <c r="C31" i="1"/>
  <c r="C29" i="1"/>
  <c r="J271" i="1"/>
  <c r="F271" i="1"/>
  <c r="C271" i="1"/>
  <c r="A65" i="1"/>
  <c r="V271" i="1"/>
  <c r="Q271" i="1"/>
  <c r="B234" i="1"/>
  <c r="E167" i="1"/>
  <c r="E271" i="1"/>
  <c r="N271" i="1"/>
  <c r="G271" i="1"/>
  <c r="U271" i="1"/>
  <c r="D41" i="1"/>
  <c r="C256" i="1" l="1"/>
  <c r="D256" i="1" s="1"/>
  <c r="E256" i="1" s="1"/>
  <c r="E214" i="1"/>
  <c r="B236" i="1" s="1"/>
  <c r="E64" i="1"/>
  <c r="G64" i="1"/>
  <c r="F64" i="1"/>
  <c r="F62" i="1"/>
  <c r="B286" i="1"/>
  <c r="B287" i="1" s="1"/>
  <c r="B289" i="1" s="1"/>
  <c r="B292" i="1" s="1"/>
  <c r="B294" i="1" s="1"/>
  <c r="G62" i="1"/>
  <c r="V272" i="1"/>
  <c r="V226" i="1"/>
  <c r="V225" i="1"/>
  <c r="H62" i="1"/>
  <c r="H64" i="1"/>
  <c r="B63" i="1"/>
  <c r="D63" i="1" s="1"/>
  <c r="J227" i="1"/>
  <c r="K273" i="1" s="1"/>
  <c r="K279" i="1" s="1"/>
  <c r="F203" i="1"/>
  <c r="R281" i="1" s="1"/>
  <c r="D153" i="1"/>
  <c r="E171" i="1"/>
  <c r="D191" i="1" s="1"/>
  <c r="R227" i="1"/>
  <c r="S273" i="1" s="1"/>
  <c r="S304" i="1" s="1"/>
  <c r="S305" i="1" s="1"/>
  <c r="E227" i="1"/>
  <c r="F273" i="1" s="1"/>
  <c r="F304" i="1" s="1"/>
  <c r="F305" i="1" s="1"/>
  <c r="Q227" i="1"/>
  <c r="R273" i="1" s="1"/>
  <c r="R304" i="1" s="1"/>
  <c r="R305" i="1" s="1"/>
  <c r="M227" i="1"/>
  <c r="N273" i="1" s="1"/>
  <c r="N304" i="1" s="1"/>
  <c r="N305" i="1" s="1"/>
  <c r="U227" i="1"/>
  <c r="V273" i="1" s="1"/>
  <c r="V279" i="1" s="1"/>
  <c r="G227" i="1"/>
  <c r="H273" i="1" s="1"/>
  <c r="H304" i="1" s="1"/>
  <c r="H305" i="1" s="1"/>
  <c r="I227" i="1"/>
  <c r="J273" i="1" s="1"/>
  <c r="J279" i="1" s="1"/>
  <c r="B308" i="1"/>
  <c r="B313" i="1" s="1"/>
  <c r="B328" i="1" s="1"/>
  <c r="B332" i="1" s="1"/>
  <c r="N227" i="1"/>
  <c r="O273" i="1" s="1"/>
  <c r="O304" i="1" s="1"/>
  <c r="O305" i="1" s="1"/>
  <c r="K227" i="1"/>
  <c r="L273" i="1" s="1"/>
  <c r="L279" i="1" s="1"/>
  <c r="C227" i="1"/>
  <c r="D273" i="1" s="1"/>
  <c r="D279" i="1" s="1"/>
  <c r="S227" i="1"/>
  <c r="T273" i="1" s="1"/>
  <c r="T279" i="1" s="1"/>
  <c r="H227" i="1"/>
  <c r="I273" i="1" s="1"/>
  <c r="I304" i="1" s="1"/>
  <c r="I305" i="1" s="1"/>
  <c r="D227" i="1"/>
  <c r="E273" i="1" s="1"/>
  <c r="E304" i="1" s="1"/>
  <c r="E305" i="1" s="1"/>
  <c r="T227" i="1"/>
  <c r="U273" i="1" s="1"/>
  <c r="U279" i="1" s="1"/>
  <c r="L227" i="1"/>
  <c r="M273" i="1" s="1"/>
  <c r="M279" i="1" s="1"/>
  <c r="B227" i="1"/>
  <c r="C273" i="1" s="1"/>
  <c r="C279" i="1" s="1"/>
  <c r="O227" i="1"/>
  <c r="P273" i="1" s="1"/>
  <c r="P304" i="1" s="1"/>
  <c r="P305" i="1" s="1"/>
  <c r="F227" i="1"/>
  <c r="G273" i="1" s="1"/>
  <c r="G279" i="1" s="1"/>
  <c r="P227" i="1"/>
  <c r="Q273" i="1" s="1"/>
  <c r="Q279" i="1" s="1"/>
  <c r="V281" i="1"/>
  <c r="B65" i="1"/>
  <c r="D65" i="1" s="1"/>
  <c r="H65" i="1" s="1"/>
  <c r="B42" i="1"/>
  <c r="A43" i="1"/>
  <c r="C42" i="1"/>
  <c r="D42" i="1"/>
  <c r="D258" i="1"/>
  <c r="E258" i="1" s="1"/>
  <c r="O283" i="1"/>
  <c r="G283" i="1"/>
  <c r="U283" i="1"/>
  <c r="M283" i="1"/>
  <c r="E283" i="1"/>
  <c r="R283" i="1"/>
  <c r="J283" i="1"/>
  <c r="Q283" i="1"/>
  <c r="D283" i="1"/>
  <c r="P283" i="1"/>
  <c r="C283" i="1"/>
  <c r="N283" i="1"/>
  <c r="L283" i="1"/>
  <c r="K283" i="1"/>
  <c r="T283" i="1"/>
  <c r="H283" i="1"/>
  <c r="V283" i="1"/>
  <c r="S283" i="1"/>
  <c r="I283" i="1"/>
  <c r="F283" i="1"/>
  <c r="D257" i="1"/>
  <c r="E257" i="1" s="1"/>
  <c r="A66" i="1"/>
  <c r="C259" i="1" l="1"/>
  <c r="F256" i="1"/>
  <c r="G256" i="1" s="1"/>
  <c r="E215" i="1"/>
  <c r="N281" i="1"/>
  <c r="N287" i="1" s="1"/>
  <c r="N312" i="1" s="1"/>
  <c r="E63" i="1"/>
  <c r="G63" i="1"/>
  <c r="F63" i="1"/>
  <c r="H63" i="1"/>
  <c r="E65" i="1"/>
  <c r="F65" i="1"/>
  <c r="G65" i="1"/>
  <c r="Q281" i="1"/>
  <c r="Q287" i="1" s="1"/>
  <c r="Q312" i="1" s="1"/>
  <c r="T281" i="1"/>
  <c r="T287" i="1" s="1"/>
  <c r="T312" i="1" s="1"/>
  <c r="K304" i="1"/>
  <c r="K305" i="1" s="1"/>
  <c r="H281" i="1"/>
  <c r="H287" i="1" s="1"/>
  <c r="H312" i="1" s="1"/>
  <c r="E281" i="1"/>
  <c r="G281" i="1"/>
  <c r="G287" i="1" s="1"/>
  <c r="G312" i="1" s="1"/>
  <c r="D281" i="1"/>
  <c r="D287" i="1" s="1"/>
  <c r="D312" i="1" s="1"/>
  <c r="S281" i="1"/>
  <c r="S287" i="1" s="1"/>
  <c r="S312" i="1" s="1"/>
  <c r="J281" i="1"/>
  <c r="J287" i="1" s="1"/>
  <c r="J312" i="1" s="1"/>
  <c r="K281" i="1"/>
  <c r="K287" i="1" s="1"/>
  <c r="K312" i="1" s="1"/>
  <c r="U281" i="1"/>
  <c r="U287" i="1" s="1"/>
  <c r="U312" i="1" s="1"/>
  <c r="P281" i="1"/>
  <c r="P287" i="1" s="1"/>
  <c r="P312" i="1" s="1"/>
  <c r="L281" i="1"/>
  <c r="L287" i="1" s="1"/>
  <c r="L312" i="1" s="1"/>
  <c r="F281" i="1"/>
  <c r="F287" i="1" s="1"/>
  <c r="F312" i="1" s="1"/>
  <c r="R287" i="1"/>
  <c r="R312" i="1" s="1"/>
  <c r="I281" i="1"/>
  <c r="I287" i="1" s="1"/>
  <c r="I312" i="1" s="1"/>
  <c r="M281" i="1"/>
  <c r="M287" i="1" s="1"/>
  <c r="M312" i="1" s="1"/>
  <c r="O281" i="1"/>
  <c r="O287" i="1" s="1"/>
  <c r="O312" i="1" s="1"/>
  <c r="C281" i="1"/>
  <c r="C287" i="1" s="1"/>
  <c r="C312" i="1" s="1"/>
  <c r="V287" i="1"/>
  <c r="V312" i="1" s="1"/>
  <c r="G304" i="1"/>
  <c r="G305" i="1" s="1"/>
  <c r="D304" i="1"/>
  <c r="D305" i="1" s="1"/>
  <c r="F279" i="1"/>
  <c r="J304" i="1"/>
  <c r="J305" i="1" s="1"/>
  <c r="S279" i="1"/>
  <c r="H279" i="1"/>
  <c r="R279" i="1"/>
  <c r="V304" i="1"/>
  <c r="V305" i="1" s="1"/>
  <c r="E287" i="1"/>
  <c r="E312" i="1" s="1"/>
  <c r="N279" i="1"/>
  <c r="O279" i="1"/>
  <c r="T304" i="1"/>
  <c r="T305" i="1" s="1"/>
  <c r="Q304" i="1"/>
  <c r="Q305" i="1" s="1"/>
  <c r="L304" i="1"/>
  <c r="L305" i="1" s="1"/>
  <c r="P279" i="1"/>
  <c r="E279" i="1"/>
  <c r="I279" i="1"/>
  <c r="C304" i="1"/>
  <c r="C305" i="1" s="1"/>
  <c r="U304" i="1"/>
  <c r="U305" i="1" s="1"/>
  <c r="M304" i="1"/>
  <c r="M305" i="1" s="1"/>
  <c r="E259" i="1"/>
  <c r="D291" i="1" s="1"/>
  <c r="D325" i="1" s="1"/>
  <c r="A44" i="1"/>
  <c r="B43" i="1"/>
  <c r="C43" i="1"/>
  <c r="D43" i="1"/>
  <c r="B302" i="1"/>
  <c r="B303" i="1" s="1"/>
  <c r="B251" i="1"/>
  <c r="B66" i="1"/>
  <c r="D66" i="1" s="1"/>
  <c r="F258" i="1"/>
  <c r="A67" i="1"/>
  <c r="D259" i="1"/>
  <c r="C291" i="1" s="1"/>
  <c r="C325" i="1" s="1"/>
  <c r="F257" i="1"/>
  <c r="B235" i="1"/>
  <c r="D192" i="1"/>
  <c r="E66" i="1" l="1"/>
  <c r="G66" i="1"/>
  <c r="F66" i="1"/>
  <c r="H66" i="1"/>
  <c r="R289" i="1"/>
  <c r="R290" i="1" s="1"/>
  <c r="V289" i="1"/>
  <c r="V290" i="1" s="1"/>
  <c r="P289" i="1"/>
  <c r="P290" i="1" s="1"/>
  <c r="E289" i="1"/>
  <c r="E290" i="1" s="1"/>
  <c r="N289" i="1"/>
  <c r="N290" i="1" s="1"/>
  <c r="I289" i="1"/>
  <c r="I290" i="1" s="1"/>
  <c r="G289" i="1"/>
  <c r="G290" i="1" s="1"/>
  <c r="S289" i="1"/>
  <c r="S290" i="1" s="1"/>
  <c r="J289" i="1"/>
  <c r="J290" i="1" s="1"/>
  <c r="C289" i="1"/>
  <c r="C292" i="1" s="1"/>
  <c r="D289" i="1"/>
  <c r="D290" i="1" s="1"/>
  <c r="M289" i="1"/>
  <c r="M290" i="1" s="1"/>
  <c r="F289" i="1"/>
  <c r="F290" i="1" s="1"/>
  <c r="T289" i="1"/>
  <c r="T290" i="1" s="1"/>
  <c r="H289" i="1"/>
  <c r="H290" i="1" s="1"/>
  <c r="K289" i="1"/>
  <c r="K290" i="1" s="1"/>
  <c r="L289" i="1"/>
  <c r="L290" i="1" s="1"/>
  <c r="U289" i="1"/>
  <c r="U290" i="1" s="1"/>
  <c r="Q289" i="1"/>
  <c r="Q290" i="1" s="1"/>
  <c r="O289" i="1"/>
  <c r="O290" i="1" s="1"/>
  <c r="F259" i="1"/>
  <c r="E291" i="1" s="1"/>
  <c r="E325" i="1" s="1"/>
  <c r="B305" i="1"/>
  <c r="B315" i="1" s="1"/>
  <c r="B44" i="1"/>
  <c r="A45" i="1"/>
  <c r="C44" i="1"/>
  <c r="D44" i="1"/>
  <c r="B67" i="1"/>
  <c r="D67" i="1" s="1"/>
  <c r="B252" i="1"/>
  <c r="B264" i="1" s="1"/>
  <c r="G257" i="1"/>
  <c r="A68" i="1"/>
  <c r="H256" i="1"/>
  <c r="G258" i="1"/>
  <c r="E67" i="1" l="1"/>
  <c r="F67" i="1"/>
  <c r="G67" i="1"/>
  <c r="H67" i="1"/>
  <c r="D68" i="1"/>
  <c r="G265" i="1"/>
  <c r="E265" i="1"/>
  <c r="J265" i="1"/>
  <c r="H265" i="1"/>
  <c r="D265" i="1"/>
  <c r="B265" i="1"/>
  <c r="C326" i="1" s="1"/>
  <c r="C264" i="1"/>
  <c r="I265" i="1"/>
  <c r="C265" i="1"/>
  <c r="K265" i="1"/>
  <c r="F265" i="1"/>
  <c r="E292" i="1"/>
  <c r="B333" i="1"/>
  <c r="B334" i="1" s="1"/>
  <c r="B317" i="1"/>
  <c r="C316" i="1" s="1"/>
  <c r="D292" i="1"/>
  <c r="C290" i="1"/>
  <c r="A46" i="1"/>
  <c r="B45" i="1"/>
  <c r="D45" i="1"/>
  <c r="C45" i="1"/>
  <c r="B68" i="1"/>
  <c r="I256" i="1"/>
  <c r="H257" i="1"/>
  <c r="I257" i="1" s="1"/>
  <c r="C311" i="1"/>
  <c r="H258" i="1"/>
  <c r="I258" i="1" s="1"/>
  <c r="A69" i="1"/>
  <c r="G259" i="1"/>
  <c r="F291" i="1" s="1"/>
  <c r="D326" i="1" l="1"/>
  <c r="E68" i="1"/>
  <c r="G68" i="1"/>
  <c r="F68" i="1"/>
  <c r="H68" i="1"/>
  <c r="C313" i="1"/>
  <c r="C315" i="1" s="1"/>
  <c r="C317" i="1" s="1"/>
  <c r="D316" i="1" s="1"/>
  <c r="F292" i="1"/>
  <c r="F325" i="1"/>
  <c r="H259" i="1"/>
  <c r="G291" i="1" s="1"/>
  <c r="J258" i="1"/>
  <c r="K258" i="1" s="1"/>
  <c r="J257" i="1"/>
  <c r="K257" i="1" s="1"/>
  <c r="D311" i="1"/>
  <c r="D264" i="1"/>
  <c r="E326" i="1" s="1"/>
  <c r="B69" i="1"/>
  <c r="D69" i="1" s="1"/>
  <c r="B335" i="1"/>
  <c r="B46" i="1"/>
  <c r="A47" i="1"/>
  <c r="C46" i="1"/>
  <c r="D46" i="1"/>
  <c r="I259" i="1"/>
  <c r="H291" i="1" s="1"/>
  <c r="J256" i="1"/>
  <c r="A70" i="1"/>
  <c r="E69" i="1" l="1"/>
  <c r="G69" i="1"/>
  <c r="F69" i="1"/>
  <c r="H69" i="1"/>
  <c r="D313" i="1"/>
  <c r="D315" i="1" s="1"/>
  <c r="H292" i="1"/>
  <c r="H325" i="1"/>
  <c r="G292" i="1"/>
  <c r="G325" i="1"/>
  <c r="L257" i="1"/>
  <c r="M257" i="1" s="1"/>
  <c r="E311" i="1"/>
  <c r="E264" i="1"/>
  <c r="F326" i="1" s="1"/>
  <c r="L258" i="1"/>
  <c r="B70" i="1"/>
  <c r="D70" i="1" s="1"/>
  <c r="J259" i="1"/>
  <c r="I291" i="1" s="1"/>
  <c r="A48" i="1"/>
  <c r="B47" i="1"/>
  <c r="C47" i="1"/>
  <c r="D47" i="1"/>
  <c r="A71" i="1"/>
  <c r="K256" i="1"/>
  <c r="E70" i="1" l="1"/>
  <c r="G70" i="1"/>
  <c r="F70" i="1"/>
  <c r="H70" i="1"/>
  <c r="D71" i="1"/>
  <c r="D317" i="1"/>
  <c r="E316" i="1" s="1"/>
  <c r="E313" i="1"/>
  <c r="E315" i="1" s="1"/>
  <c r="I292" i="1"/>
  <c r="I325" i="1"/>
  <c r="B71" i="1"/>
  <c r="A49" i="1"/>
  <c r="B48" i="1"/>
  <c r="C48" i="1"/>
  <c r="D48" i="1"/>
  <c r="N257" i="1"/>
  <c r="O257" i="1" s="1"/>
  <c r="P257" i="1" s="1"/>
  <c r="Q257" i="1" s="1"/>
  <c r="R257" i="1" s="1"/>
  <c r="S257" i="1" s="1"/>
  <c r="T257" i="1" s="1"/>
  <c r="U257" i="1" s="1"/>
  <c r="V257" i="1" s="1"/>
  <c r="W257" i="1" s="1"/>
  <c r="F311" i="1"/>
  <c r="F264" i="1"/>
  <c r="G326" i="1" s="1"/>
  <c r="K259" i="1"/>
  <c r="J291" i="1" s="1"/>
  <c r="L256" i="1"/>
  <c r="M258" i="1"/>
  <c r="N258" i="1" s="1"/>
  <c r="O258" i="1" s="1"/>
  <c r="P258" i="1" s="1"/>
  <c r="Q258" i="1" s="1"/>
  <c r="A72" i="1"/>
  <c r="E71" i="1" l="1"/>
  <c r="G71" i="1"/>
  <c r="F71" i="1"/>
  <c r="H71" i="1"/>
  <c r="E317" i="1"/>
  <c r="F316" i="1" s="1"/>
  <c r="F313" i="1"/>
  <c r="F315" i="1" s="1"/>
  <c r="J292" i="1"/>
  <c r="J325" i="1"/>
  <c r="B72" i="1"/>
  <c r="D72" i="1" s="1"/>
  <c r="G264" i="1"/>
  <c r="H326" i="1" s="1"/>
  <c r="G311" i="1"/>
  <c r="A50" i="1"/>
  <c r="B49" i="1"/>
  <c r="C49" i="1"/>
  <c r="D49" i="1"/>
  <c r="A73" i="1"/>
  <c r="L259" i="1"/>
  <c r="K291" i="1" s="1"/>
  <c r="M256" i="1"/>
  <c r="R258" i="1"/>
  <c r="S258" i="1" s="1"/>
  <c r="T258" i="1" s="1"/>
  <c r="U258" i="1" s="1"/>
  <c r="V258" i="1" s="1"/>
  <c r="W258" i="1" s="1"/>
  <c r="E72" i="1" l="1"/>
  <c r="F72" i="1"/>
  <c r="G72" i="1"/>
  <c r="H72" i="1"/>
  <c r="F317" i="1"/>
  <c r="G316" i="1" s="1"/>
  <c r="G313" i="1"/>
  <c r="G315" i="1" s="1"/>
  <c r="K292" i="1"/>
  <c r="K325" i="1"/>
  <c r="M259" i="1"/>
  <c r="L291" i="1" s="1"/>
  <c r="N256" i="1"/>
  <c r="A74" i="1"/>
  <c r="B73" i="1"/>
  <c r="D73" i="1" s="1"/>
  <c r="H264" i="1"/>
  <c r="I326" i="1" s="1"/>
  <c r="H311" i="1"/>
  <c r="B50" i="1"/>
  <c r="A51" i="1"/>
  <c r="C50" i="1"/>
  <c r="D50" i="1"/>
  <c r="E73" i="1" l="1"/>
  <c r="F73" i="1"/>
  <c r="G73" i="1"/>
  <c r="H73" i="1"/>
  <c r="G317" i="1"/>
  <c r="H316" i="1" s="1"/>
  <c r="H313" i="1"/>
  <c r="H315" i="1" s="1"/>
  <c r="L292" i="1"/>
  <c r="L325" i="1"/>
  <c r="B74" i="1"/>
  <c r="D74" i="1" s="1"/>
  <c r="I311" i="1"/>
  <c r="I264" i="1"/>
  <c r="J326" i="1" s="1"/>
  <c r="A52" i="1"/>
  <c r="B51" i="1"/>
  <c r="D51" i="1"/>
  <c r="C51" i="1"/>
  <c r="N259" i="1"/>
  <c r="M291" i="1" s="1"/>
  <c r="O256" i="1"/>
  <c r="A75" i="1"/>
  <c r="E74" i="1" l="1"/>
  <c r="G74" i="1"/>
  <c r="F74" i="1"/>
  <c r="H74" i="1"/>
  <c r="H317" i="1"/>
  <c r="I316" i="1" s="1"/>
  <c r="I313" i="1"/>
  <c r="I315" i="1" s="1"/>
  <c r="M292" i="1"/>
  <c r="M325" i="1"/>
  <c r="B52" i="1"/>
  <c r="A53" i="1"/>
  <c r="C52" i="1"/>
  <c r="D52" i="1"/>
  <c r="B75" i="1"/>
  <c r="D75" i="1" s="1"/>
  <c r="O259" i="1"/>
  <c r="N291" i="1" s="1"/>
  <c r="P256" i="1"/>
  <c r="J264" i="1"/>
  <c r="K326" i="1" s="1"/>
  <c r="J311" i="1"/>
  <c r="A76" i="1"/>
  <c r="E75" i="1" l="1"/>
  <c r="G75" i="1"/>
  <c r="F75" i="1"/>
  <c r="H75" i="1"/>
  <c r="I317" i="1"/>
  <c r="J316" i="1" s="1"/>
  <c r="J313" i="1"/>
  <c r="J315" i="1" s="1"/>
  <c r="N292" i="1"/>
  <c r="N325" i="1"/>
  <c r="A54" i="1"/>
  <c r="B53" i="1"/>
  <c r="C53" i="1"/>
  <c r="D53" i="1"/>
  <c r="K311" i="1"/>
  <c r="K264" i="1"/>
  <c r="L326" i="1" s="1"/>
  <c r="B76" i="1"/>
  <c r="D76" i="1" s="1"/>
  <c r="A77" i="1"/>
  <c r="P259" i="1"/>
  <c r="O291" i="1" s="1"/>
  <c r="Q256" i="1"/>
  <c r="E76" i="1" l="1"/>
  <c r="G76" i="1"/>
  <c r="F76" i="1"/>
  <c r="H76" i="1"/>
  <c r="J317" i="1"/>
  <c r="K316" i="1" s="1"/>
  <c r="K313" i="1"/>
  <c r="K315" i="1" s="1"/>
  <c r="O292" i="1"/>
  <c r="O325" i="1"/>
  <c r="L311" i="1"/>
  <c r="A78" i="1"/>
  <c r="B54" i="1"/>
  <c r="A55" i="1"/>
  <c r="C54" i="1"/>
  <c r="D54" i="1"/>
  <c r="Q259" i="1"/>
  <c r="P291" i="1" s="1"/>
  <c r="R256" i="1"/>
  <c r="B77" i="1"/>
  <c r="D77" i="1" s="1"/>
  <c r="E77" i="1" l="1"/>
  <c r="F77" i="1"/>
  <c r="G77" i="1"/>
  <c r="H77" i="1"/>
  <c r="D78" i="1"/>
  <c r="K317" i="1"/>
  <c r="L316" i="1" s="1"/>
  <c r="L313" i="1"/>
  <c r="L315" i="1" s="1"/>
  <c r="P292" i="1"/>
  <c r="P325" i="1"/>
  <c r="M311" i="1"/>
  <c r="B78" i="1"/>
  <c r="A56" i="1"/>
  <c r="B55" i="1"/>
  <c r="D55" i="1"/>
  <c r="C55" i="1"/>
  <c r="A79" i="1"/>
  <c r="R259" i="1"/>
  <c r="Q291" i="1" s="1"/>
  <c r="S256" i="1"/>
  <c r="E78" i="1" l="1"/>
  <c r="G78" i="1"/>
  <c r="F78" i="1"/>
  <c r="H78" i="1"/>
  <c r="L317" i="1"/>
  <c r="M316" i="1" s="1"/>
  <c r="M313" i="1"/>
  <c r="M315" i="1" s="1"/>
  <c r="Q292" i="1"/>
  <c r="Q325" i="1"/>
  <c r="N311" i="1"/>
  <c r="A57" i="1"/>
  <c r="B56" i="1"/>
  <c r="C56" i="1"/>
  <c r="D56" i="1"/>
  <c r="S259" i="1"/>
  <c r="R291" i="1" s="1"/>
  <c r="T256" i="1"/>
  <c r="A80" i="1"/>
  <c r="B79" i="1"/>
  <c r="D79" i="1" s="1"/>
  <c r="E79" i="1" l="1"/>
  <c r="G79" i="1"/>
  <c r="F79" i="1"/>
  <c r="H79" i="1"/>
  <c r="M317" i="1"/>
  <c r="N316" i="1" s="1"/>
  <c r="N313" i="1"/>
  <c r="N315" i="1" s="1"/>
  <c r="R292" i="1"/>
  <c r="R325" i="1"/>
  <c r="A81" i="1"/>
  <c r="T259" i="1"/>
  <c r="S291" i="1" s="1"/>
  <c r="U256" i="1"/>
  <c r="B80" i="1"/>
  <c r="D80" i="1" s="1"/>
  <c r="O311" i="1"/>
  <c r="B57" i="1"/>
  <c r="D57" i="1"/>
  <c r="C57" i="1"/>
  <c r="E80" i="1" l="1"/>
  <c r="G80" i="1"/>
  <c r="F80" i="1"/>
  <c r="H80" i="1"/>
  <c r="N317" i="1"/>
  <c r="O316" i="1" s="1"/>
  <c r="O313" i="1"/>
  <c r="O315" i="1" s="1"/>
  <c r="S292" i="1"/>
  <c r="S325" i="1"/>
  <c r="B81" i="1"/>
  <c r="D81" i="1" s="1"/>
  <c r="P311" i="1"/>
  <c r="U259" i="1"/>
  <c r="T291" i="1" s="1"/>
  <c r="V256" i="1"/>
  <c r="A82" i="1"/>
  <c r="D82" i="1" s="1"/>
  <c r="E82" i="1" l="1"/>
  <c r="G82" i="1"/>
  <c r="F82" i="1"/>
  <c r="H82" i="1"/>
  <c r="E81" i="1"/>
  <c r="F81" i="1"/>
  <c r="G81" i="1"/>
  <c r="H81" i="1"/>
  <c r="O317" i="1"/>
  <c r="P316" i="1" s="1"/>
  <c r="P313" i="1"/>
  <c r="P315" i="1" s="1"/>
  <c r="T292" i="1"/>
  <c r="T325" i="1"/>
  <c r="V259" i="1"/>
  <c r="U291" i="1" s="1"/>
  <c r="W256" i="1"/>
  <c r="W259" i="1" s="1"/>
  <c r="V291" i="1" s="1"/>
  <c r="Q311" i="1"/>
  <c r="P317" i="1" l="1"/>
  <c r="Q316" i="1" s="1"/>
  <c r="Q313" i="1"/>
  <c r="Q315" i="1" s="1"/>
  <c r="U292" i="1"/>
  <c r="U325" i="1"/>
  <c r="V292" i="1"/>
  <c r="V325" i="1"/>
  <c r="R311" i="1"/>
  <c r="Q317" i="1" l="1"/>
  <c r="R316" i="1" s="1"/>
  <c r="R313" i="1"/>
  <c r="R315" i="1" s="1"/>
  <c r="S311" i="1"/>
  <c r="R317" i="1" l="1"/>
  <c r="S316" i="1" s="1"/>
  <c r="S313" i="1"/>
  <c r="S315" i="1" s="1"/>
  <c r="T311" i="1"/>
  <c r="S317" i="1" l="1"/>
  <c r="T316" i="1" s="1"/>
  <c r="T313" i="1"/>
  <c r="T315" i="1" s="1"/>
  <c r="U311" i="1"/>
  <c r="T317" i="1" l="1"/>
  <c r="U316" i="1" s="1"/>
  <c r="U313" i="1"/>
  <c r="U315" i="1" s="1"/>
  <c r="V311" i="1"/>
  <c r="V264" i="1"/>
  <c r="U317" i="1" l="1"/>
  <c r="V316" i="1" s="1"/>
  <c r="V313" i="1"/>
  <c r="V315" i="1" s="1"/>
  <c r="V317" i="1" l="1"/>
  <c r="C293" i="1" l="1"/>
  <c r="C294" i="1" l="1"/>
  <c r="D293" i="1"/>
  <c r="C295" i="1" l="1"/>
  <c r="C324" i="1"/>
  <c r="C327" i="1" s="1"/>
  <c r="C328" i="1" s="1"/>
  <c r="D294" i="1"/>
  <c r="E293" i="1"/>
  <c r="G293" i="1"/>
  <c r="C332" i="1" l="1"/>
  <c r="C333" i="1" s="1"/>
  <c r="G294" i="1"/>
  <c r="G324" i="1" s="1"/>
  <c r="G327" i="1" s="1"/>
  <c r="G328" i="1" s="1"/>
  <c r="G332" i="1" s="1"/>
  <c r="E294" i="1"/>
  <c r="E324" i="1" s="1"/>
  <c r="E327" i="1" s="1"/>
  <c r="E328" i="1" s="1"/>
  <c r="E332" i="1" s="1"/>
  <c r="D324" i="1"/>
  <c r="D327" i="1" s="1"/>
  <c r="D328" i="1" s="1"/>
  <c r="D332" i="1" s="1"/>
  <c r="D295" i="1"/>
  <c r="F293" i="1"/>
  <c r="I293" i="1"/>
  <c r="C334" i="1" l="1"/>
  <c r="D333" i="1"/>
  <c r="E333" i="1" s="1"/>
  <c r="E295" i="1"/>
  <c r="I294" i="1"/>
  <c r="I324" i="1" s="1"/>
  <c r="I327" i="1" s="1"/>
  <c r="I328" i="1" s="1"/>
  <c r="I332" i="1" s="1"/>
  <c r="F294" i="1"/>
  <c r="F295" i="1" s="1"/>
  <c r="G295" i="1"/>
  <c r="H293" i="1"/>
  <c r="D334" i="1" l="1"/>
  <c r="C335" i="1"/>
  <c r="F324" i="1"/>
  <c r="F327" i="1" s="1"/>
  <c r="F328" i="1" s="1"/>
  <c r="I295" i="1"/>
  <c r="H294" i="1"/>
  <c r="H324" i="1" s="1"/>
  <c r="H327" i="1" s="1"/>
  <c r="H328" i="1" s="1"/>
  <c r="H332" i="1" s="1"/>
  <c r="J293" i="1"/>
  <c r="H295" i="1" l="1"/>
  <c r="F332" i="1"/>
  <c r="F333" i="1" s="1"/>
  <c r="G333" i="1" s="1"/>
  <c r="H333" i="1" s="1"/>
  <c r="I333" i="1" s="1"/>
  <c r="E334" i="1"/>
  <c r="D335" i="1"/>
  <c r="J294" i="1"/>
  <c r="J295" i="1" s="1"/>
  <c r="K293" i="1"/>
  <c r="F334" i="1" l="1"/>
  <c r="E335" i="1"/>
  <c r="J324" i="1"/>
  <c r="J327" i="1" s="1"/>
  <c r="J328" i="1" s="1"/>
  <c r="K294" i="1"/>
  <c r="K295" i="1" s="1"/>
  <c r="L293" i="1"/>
  <c r="M293" i="1"/>
  <c r="J332" i="1" l="1"/>
  <c r="J333" i="1" s="1"/>
  <c r="G334" i="1"/>
  <c r="F335" i="1"/>
  <c r="K324" i="1"/>
  <c r="K327" i="1" s="1"/>
  <c r="K328" i="1" s="1"/>
  <c r="K332" i="1" s="1"/>
  <c r="M294" i="1"/>
  <c r="M295" i="1" s="1"/>
  <c r="L294" i="1"/>
  <c r="L324" i="1" s="1"/>
  <c r="L327" i="1" s="1"/>
  <c r="L328" i="1" s="1"/>
  <c r="L332" i="1" s="1"/>
  <c r="H334" i="1" l="1"/>
  <c r="G335" i="1"/>
  <c r="K333" i="1"/>
  <c r="L333" i="1" s="1"/>
  <c r="M324" i="1"/>
  <c r="M327" i="1" s="1"/>
  <c r="M328" i="1" s="1"/>
  <c r="M332" i="1" s="1"/>
  <c r="L295" i="1"/>
  <c r="N293" i="1"/>
  <c r="I334" i="1" l="1"/>
  <c r="H335" i="1"/>
  <c r="M333" i="1"/>
  <c r="N294" i="1"/>
  <c r="N324" i="1" s="1"/>
  <c r="N327" i="1" s="1"/>
  <c r="N328" i="1" s="1"/>
  <c r="N332" i="1" s="1"/>
  <c r="O293" i="1"/>
  <c r="N295" i="1" l="1"/>
  <c r="N333" i="1"/>
  <c r="J334" i="1"/>
  <c r="I335" i="1"/>
  <c r="O294" i="1"/>
  <c r="O324" i="1" s="1"/>
  <c r="O327" i="1" s="1"/>
  <c r="O328" i="1" s="1"/>
  <c r="O332" i="1" s="1"/>
  <c r="P293" i="1"/>
  <c r="O295" i="1" l="1"/>
  <c r="K334" i="1"/>
  <c r="J335" i="1"/>
  <c r="O333" i="1"/>
  <c r="P294" i="1"/>
  <c r="P324" i="1" s="1"/>
  <c r="P327" i="1" s="1"/>
  <c r="P328" i="1" s="1"/>
  <c r="P332" i="1" s="1"/>
  <c r="Q293" i="1"/>
  <c r="P333" i="1" l="1"/>
  <c r="L334" i="1"/>
  <c r="K335" i="1"/>
  <c r="P295" i="1"/>
  <c r="Q294" i="1"/>
  <c r="Q295" i="1" s="1"/>
  <c r="R293" i="1"/>
  <c r="M334" i="1" l="1"/>
  <c r="L335" i="1"/>
  <c r="Q324" i="1"/>
  <c r="Q327" i="1" s="1"/>
  <c r="Q328" i="1" s="1"/>
  <c r="Q332" i="1" s="1"/>
  <c r="Q333" i="1" s="1"/>
  <c r="R294" i="1"/>
  <c r="R295" i="1" s="1"/>
  <c r="S293" i="1"/>
  <c r="N334" i="1" l="1"/>
  <c r="M335" i="1"/>
  <c r="R324" i="1"/>
  <c r="R327" i="1" s="1"/>
  <c r="R328" i="1" s="1"/>
  <c r="R332" i="1" s="1"/>
  <c r="R333" i="1" s="1"/>
  <c r="S294" i="1"/>
  <c r="S324" i="1" s="1"/>
  <c r="S327" i="1" s="1"/>
  <c r="S328" i="1" s="1"/>
  <c r="S332" i="1" s="1"/>
  <c r="T293" i="1"/>
  <c r="S333" i="1" l="1"/>
  <c r="O334" i="1"/>
  <c r="N335" i="1"/>
  <c r="S295" i="1"/>
  <c r="T294" i="1"/>
  <c r="T324" i="1" s="1"/>
  <c r="T327" i="1" s="1"/>
  <c r="T328" i="1" s="1"/>
  <c r="T332" i="1" s="1"/>
  <c r="U293" i="1"/>
  <c r="T333" i="1" l="1"/>
  <c r="P334" i="1"/>
  <c r="O335" i="1"/>
  <c r="T295" i="1"/>
  <c r="V293" i="1"/>
  <c r="V265" i="1"/>
  <c r="U294" i="1"/>
  <c r="U295" i="1" s="1"/>
  <c r="Q334" i="1" l="1"/>
  <c r="P335" i="1"/>
  <c r="V294" i="1"/>
  <c r="U324" i="1"/>
  <c r="U327" i="1" s="1"/>
  <c r="U328" i="1" s="1"/>
  <c r="U332" i="1" s="1"/>
  <c r="U333" i="1" s="1"/>
  <c r="R334" i="1" l="1"/>
  <c r="Q335" i="1"/>
  <c r="V324" i="1"/>
  <c r="V327" i="1" s="1"/>
  <c r="V328" i="1" s="1"/>
  <c r="B330" i="1" s="1"/>
  <c r="V295" i="1"/>
  <c r="S334" i="1" l="1"/>
  <c r="R335" i="1"/>
  <c r="V332" i="1"/>
  <c r="V333" i="1" s="1"/>
  <c r="B329" i="1"/>
  <c r="T334" i="1" l="1"/>
  <c r="S335" i="1"/>
  <c r="U334" i="1" l="1"/>
  <c r="T335" i="1"/>
  <c r="V334" i="1" l="1"/>
  <c r="V335" i="1" s="1"/>
  <c r="U335" i="1"/>
  <c r="B336" i="1" l="1"/>
  <c r="B316" i="1" l="1"/>
</calcChain>
</file>

<file path=xl/sharedStrings.xml><?xml version="1.0" encoding="utf-8"?>
<sst xmlns="http://schemas.openxmlformats.org/spreadsheetml/2006/main" count="321" uniqueCount="272">
  <si>
    <t>Total Methane and Organic Manure Estimation for Kathmandu Valley (2024-2044)</t>
  </si>
  <si>
    <t>Basis of Estimation</t>
  </si>
  <si>
    <t>Sewage Coverage Rate in 2019 =</t>
  </si>
  <si>
    <t>Sewage Coverage Rate in 2030 (SDG Target)=</t>
  </si>
  <si>
    <t>Legend</t>
  </si>
  <si>
    <t>Percentage Sewage Expansion every year =</t>
  </si>
  <si>
    <t>Values Taken from Secondary Sources</t>
  </si>
  <si>
    <t>Sewage Coverage at Start of Study (2024) =</t>
  </si>
  <si>
    <t>Calculated Values</t>
  </si>
  <si>
    <t>Sewage Coverage at End of Study (2044) =</t>
  </si>
  <si>
    <t>Values taken from Mass Balance Calculations</t>
  </si>
  <si>
    <t>Population of Kathmandu District in 2021 =</t>
  </si>
  <si>
    <t>Population Growth Rate =</t>
  </si>
  <si>
    <t>Population of Lalitpur District in 2021 =</t>
  </si>
  <si>
    <t>Population of Bhaktapur District in 2021 =</t>
  </si>
  <si>
    <t xml:space="preserve">Per Capita Water Consumption (Until 2034) = </t>
  </si>
  <si>
    <t>LPCD</t>
  </si>
  <si>
    <t xml:space="preserve">Per Capita Water Consumption (2034-2044) = </t>
  </si>
  <si>
    <t>Water Consumption converted into Wastewater =</t>
  </si>
  <si>
    <t>TSS Percentage of the Sludge Generated =</t>
  </si>
  <si>
    <t xml:space="preserve"> TSS</t>
  </si>
  <si>
    <t xml:space="preserve"> Sludge Per MLD of Waste Water =</t>
  </si>
  <si>
    <t>kg/MLD</t>
  </si>
  <si>
    <t>Specific Gravity of Sludge =</t>
  </si>
  <si>
    <t xml:space="preserve">Volume of Methane per Ton of Sludge </t>
  </si>
  <si>
    <r>
      <t>m</t>
    </r>
    <r>
      <rPr>
        <vertAlign val="superscript"/>
        <sz val="11"/>
        <color theme="1"/>
        <rFont val="Calibri"/>
        <family val="2"/>
      </rPr>
      <t xml:space="preserve">3 </t>
    </r>
    <r>
      <rPr>
        <sz val="11"/>
        <color theme="1"/>
        <rFont val="Calibri"/>
        <family val="2"/>
      </rPr>
      <t>/ TON</t>
    </r>
  </si>
  <si>
    <t>Volume of Methane per MLD of Wastewater =</t>
  </si>
  <si>
    <r>
      <t>m</t>
    </r>
    <r>
      <rPr>
        <vertAlign val="superscript"/>
        <sz val="11"/>
        <color theme="1"/>
        <rFont val="Calibri"/>
        <family val="2"/>
      </rPr>
      <t xml:space="preserve">3 </t>
    </r>
    <r>
      <rPr>
        <sz val="11"/>
        <color theme="1"/>
        <rFont val="Calibri"/>
        <family val="2"/>
      </rPr>
      <t>/ MLD</t>
    </r>
  </si>
  <si>
    <t>Density of Methane at STP =</t>
  </si>
  <si>
    <r>
      <t>kg/m</t>
    </r>
    <r>
      <rPr>
        <vertAlign val="superscript"/>
        <sz val="11"/>
        <color theme="1"/>
        <rFont val="Calibri"/>
        <family val="2"/>
      </rPr>
      <t>3</t>
    </r>
  </si>
  <si>
    <t>Mass of Methane per MLD of Wastewater  =</t>
  </si>
  <si>
    <t>Biosolids( 22% TSS) per Ton of Sludge =</t>
  </si>
  <si>
    <t>kg/ TON</t>
  </si>
  <si>
    <t>Biosolids( 22% TSS) per MLD of Wastewater =</t>
  </si>
  <si>
    <t>Assuming(Total Dissolved Solids in Dewatered Sludge) =</t>
  </si>
  <si>
    <t>10% of TSS</t>
  </si>
  <si>
    <t>TS of Biosolids =</t>
  </si>
  <si>
    <t>TS per MLD of Wastewater</t>
  </si>
  <si>
    <t>Organic Manure (70% TS) per Ton of Sludge =</t>
  </si>
  <si>
    <t>kg/TON</t>
  </si>
  <si>
    <t>Organic Manure (70% TS) per MLD of Wastewater  =</t>
  </si>
  <si>
    <t>Kg/MLD</t>
  </si>
  <si>
    <t>Year</t>
  </si>
  <si>
    <t>Population</t>
  </si>
  <si>
    <t>Kathmandu</t>
  </si>
  <si>
    <t>Lalitpur</t>
  </si>
  <si>
    <t>Bhaktapur</t>
  </si>
  <si>
    <t>Kathmandu Valley</t>
  </si>
  <si>
    <t xml:space="preserve">Year </t>
  </si>
  <si>
    <t xml:space="preserve">Population </t>
  </si>
  <si>
    <t>Sewage Coverage</t>
  </si>
  <si>
    <t>WWG (MLY)</t>
  </si>
  <si>
    <t>WWC(MLY)</t>
  </si>
  <si>
    <t>BIO CNG, 200 bar(MT)</t>
  </si>
  <si>
    <t>Biosolids(22% TSS), MT</t>
  </si>
  <si>
    <t>Organic Manure (70% TS), MT</t>
  </si>
  <si>
    <t>Financial Analysis for WWTP producing 80 TPD of Sludgeof 5.8% TSS</t>
  </si>
  <si>
    <t>Assumptions for Financial Analysis</t>
  </si>
  <si>
    <t>The Financial model taken for this study is based on the Financial Model of Gandaki Urja. Gandaki Urja is a private devloper having a Waste to Energy Plant in Nepal. The plant uses  Anaerobic Digestion to produce</t>
  </si>
  <si>
    <t xml:space="preserve">Compressed Bio CNG and Organic Fertilizers from Cow dung, Chicken litter and agricultural residue. </t>
  </si>
  <si>
    <t>The model will be modified as follows:-</t>
  </si>
  <si>
    <t>1. The raw material for our plant will be sewage sludge, thus no cost will be associated with purchase, collection and trasnportation.</t>
  </si>
  <si>
    <t xml:space="preserve">2. The plant capacity of Gandaki Urja is 80 TPD(TON per Day) with 14% TS. </t>
  </si>
  <si>
    <t xml:space="preserve">3. The target customers for Gandaki Urja were Restaurants and Hotels for the gas and farmers and households for their fertlizer. </t>
  </si>
  <si>
    <t>4. For our plant, the end user for Compressed BIO CNG will be vehicle owners having ICE vehicles, the fertilizers will be sold to farmers and households.</t>
  </si>
  <si>
    <t xml:space="preserve">5. The cost for compression and bottling of Bio CNG as fuels for ICE vehicles has been assumed to be same as the cost associated for compression and bottling of cylinders for cooking. </t>
  </si>
  <si>
    <t>6. The pre development cost will only be taken initially and will uprade of plant capacity only fixed and variable capital cost will be added.</t>
  </si>
  <si>
    <t xml:space="preserve">7. The model for gandaki urja was developed in 2018, thus price adjustment is required for items whose current price is not known and for certain items such as electricity and water, the prices remain the same. </t>
  </si>
  <si>
    <t>8. The avaliabe substrate for the AD plant which is sewage sludge.</t>
  </si>
  <si>
    <t xml:space="preserve">10. The O&amp;M cost will increase by 3% annually while the prices of BIO CNG and Fertilizer will increase by 5% anually. </t>
  </si>
  <si>
    <t xml:space="preserve">11.  The declining balance method will be used to calculate the decpreciation. For building and civil works, the service life is taken as 30 years, </t>
  </si>
  <si>
    <t>for vehicles the service life is taken as 20 years and for machinery and equipments the service life is taken as 10 years.</t>
  </si>
  <si>
    <t>12. This project does not have to pay any taxes.</t>
  </si>
  <si>
    <t>Per day Input =</t>
  </si>
  <si>
    <t>TPD</t>
  </si>
  <si>
    <t>O&amp;M annual increase =</t>
  </si>
  <si>
    <t>SP annual increase =</t>
  </si>
  <si>
    <t>SP of BioCNG for 2025 =</t>
  </si>
  <si>
    <t>Rs/kg</t>
  </si>
  <si>
    <t>SP of Organic Manure for 2025 =</t>
  </si>
  <si>
    <t>Interest on Loan =</t>
  </si>
  <si>
    <t>Loan Interest Period =</t>
  </si>
  <si>
    <t>years</t>
  </si>
  <si>
    <t>Discount Rate =</t>
  </si>
  <si>
    <t>Key Financial Figures</t>
  </si>
  <si>
    <t xml:space="preserve">Parameter </t>
  </si>
  <si>
    <t>Remarks</t>
  </si>
  <si>
    <t>Depreciation</t>
  </si>
  <si>
    <t>5%
10%
20%</t>
  </si>
  <si>
    <t>For buildings
Machineries, Equipments
Vehicle</t>
  </si>
  <si>
    <t>Average Inflation rate (2018-2023)</t>
  </si>
  <si>
    <t xml:space="preserve">Discount rate </t>
  </si>
  <si>
    <t>Fixed Investment</t>
  </si>
  <si>
    <t xml:space="preserve">Particulars </t>
  </si>
  <si>
    <t>Amount (NRs) for 2018</t>
  </si>
  <si>
    <t>Adjusted Amount (NRs) for 2024</t>
  </si>
  <si>
    <t>Sub-Total for 2024(NRs)</t>
  </si>
  <si>
    <t xml:space="preserve">Buildings and Civil Works </t>
  </si>
  <si>
    <t xml:space="preserve">Digester (2700 cum) </t>
  </si>
  <si>
    <t xml:space="preserve">Storage Shed (Substrate) </t>
  </si>
  <si>
    <t xml:space="preserve">Storage Shed (Cylinders) </t>
  </si>
  <si>
    <t xml:space="preserve">Storage Shed ( Fertilizers) </t>
  </si>
  <si>
    <t>Other Structures (Water Tank, Lab,
Lagoon, Control Room, etc.)</t>
  </si>
  <si>
    <t xml:space="preserve">Residue Tank (500 cum) </t>
  </si>
  <si>
    <t xml:space="preserve">Office Setup </t>
  </si>
  <si>
    <t xml:space="preserve">Machinery and Equipments </t>
  </si>
  <si>
    <t xml:space="preserve">Shredder </t>
  </si>
  <si>
    <t xml:space="preserve">Digester Machinery </t>
  </si>
  <si>
    <t xml:space="preserve">Agitators, Heaters,
Balloon Roofs, Slurry
Pumps, etc. </t>
  </si>
  <si>
    <t xml:space="preserve">H2S Scrubber </t>
  </si>
  <si>
    <t xml:space="preserve">175 m3/hr </t>
  </si>
  <si>
    <t xml:space="preserve">Bio Gas Purification </t>
  </si>
  <si>
    <t xml:space="preserve">175m3/hr </t>
  </si>
  <si>
    <t xml:space="preserve">Bio Gas Compressor </t>
  </si>
  <si>
    <t xml:space="preserve">200 Bar </t>
  </si>
  <si>
    <t xml:space="preserve">Bio- CNG Storage 3 tonnes </t>
  </si>
  <si>
    <t xml:space="preserve">Fertilizer </t>
  </si>
  <si>
    <t xml:space="preserve">Solid/Liquid Separator </t>
  </si>
  <si>
    <t xml:space="preserve">Plant Automation </t>
  </si>
  <si>
    <t xml:space="preserve">Piping &amp; Valve </t>
  </si>
  <si>
    <t xml:space="preserve">Bagging Unit </t>
  </si>
  <si>
    <t xml:space="preserve">Generator Back up </t>
  </si>
  <si>
    <t xml:space="preserve">Personal Protective Equipments </t>
  </si>
  <si>
    <t xml:space="preserve">Fire Safety Equipments </t>
  </si>
  <si>
    <t xml:space="preserve">Vehicles </t>
  </si>
  <si>
    <t xml:space="preserve">Loader </t>
  </si>
  <si>
    <t xml:space="preserve">1 Nos </t>
  </si>
  <si>
    <t xml:space="preserve">Pre Operating Cost </t>
  </si>
  <si>
    <t xml:space="preserve">EPC FEE </t>
  </si>
  <si>
    <t xml:space="preserve">Legal and Other Charges </t>
  </si>
  <si>
    <t xml:space="preserve">Industry Registration </t>
  </si>
  <si>
    <t xml:space="preserve">Total Fixed Capital </t>
  </si>
  <si>
    <t>Fixed Investment per TON</t>
  </si>
  <si>
    <t>5.2.2 Variable Investment</t>
  </si>
  <si>
    <t xml:space="preserve">Working Capital Requirement </t>
  </si>
  <si>
    <t xml:space="preserve">Raw Materials </t>
  </si>
  <si>
    <t xml:space="preserve">Month </t>
  </si>
  <si>
    <t xml:space="preserve">Utilities </t>
  </si>
  <si>
    <t xml:space="preserve">Repair and Maintenance </t>
  </si>
  <si>
    <t xml:space="preserve">Direct Worker Salary </t>
  </si>
  <si>
    <t xml:space="preserve">Indirect Worker Salary </t>
  </si>
  <si>
    <t xml:space="preserve">Office Overheads </t>
  </si>
  <si>
    <t xml:space="preserve">Credit Facility </t>
  </si>
  <si>
    <t xml:space="preserve">Cash Balance </t>
  </si>
  <si>
    <t xml:space="preserve">Meeting/Training </t>
  </si>
  <si>
    <t>Total Variable Capital</t>
  </si>
  <si>
    <t>Variable Investment Per TON</t>
  </si>
  <si>
    <t xml:space="preserve"> Fixed O&amp;M Cost</t>
  </si>
  <si>
    <t>Particulars</t>
  </si>
  <si>
    <t>Sub-Total for 2024 (NRs)</t>
  </si>
  <si>
    <t xml:space="preserve">Depreciation </t>
  </si>
  <si>
    <t xml:space="preserve">Building </t>
  </si>
  <si>
    <t xml:space="preserve">Machinery and Equipment's </t>
  </si>
  <si>
    <t xml:space="preserve">Vehicle </t>
  </si>
  <si>
    <t xml:space="preserve">Office Materials </t>
  </si>
  <si>
    <t xml:space="preserve">Stationery </t>
  </si>
  <si>
    <t xml:space="preserve">Communication </t>
  </si>
  <si>
    <t xml:space="preserve">Legal and Audit </t>
  </si>
  <si>
    <t xml:space="preserve">Travelling </t>
  </si>
  <si>
    <t xml:space="preserve">Guest/ Tea/ Meeting </t>
  </si>
  <si>
    <t xml:space="preserve">AGM </t>
  </si>
  <si>
    <t xml:space="preserve">Indirect Workers Salary </t>
  </si>
  <si>
    <t xml:space="preserve">CEO </t>
  </si>
  <si>
    <t xml:space="preserve">Plant Manager </t>
  </si>
  <si>
    <t xml:space="preserve">Account Manager </t>
  </si>
  <si>
    <t xml:space="preserve">Marketing </t>
  </si>
  <si>
    <t xml:space="preserve">Office Assistant </t>
  </si>
  <si>
    <t xml:space="preserve">Guard </t>
  </si>
  <si>
    <t>2*19354.82</t>
  </si>
  <si>
    <t xml:space="preserve">Bonus </t>
  </si>
  <si>
    <t>Total Fixed O&amp;M Cost</t>
  </si>
  <si>
    <t>Total Fixed O&amp;M Cost per TON</t>
  </si>
  <si>
    <t>Variable O&amp;M Cost</t>
  </si>
  <si>
    <t>Bases</t>
  </si>
  <si>
    <t>Fertilizer Packaging
Material</t>
  </si>
  <si>
    <t xml:space="preserve">Water </t>
  </si>
  <si>
    <t xml:space="preserve">Electricity </t>
  </si>
  <si>
    <t>250 KVA (3500
units)</t>
  </si>
  <si>
    <t xml:space="preserve">3500*12 </t>
  </si>
  <si>
    <t xml:space="preserve">Fuel </t>
  </si>
  <si>
    <t xml:space="preserve">500 litres/month </t>
  </si>
  <si>
    <t xml:space="preserve">77500*12 </t>
  </si>
  <si>
    <t>Building and Civil
Works</t>
  </si>
  <si>
    <t>Machinery and
Equipment</t>
  </si>
  <si>
    <t xml:space="preserve">Driver </t>
  </si>
  <si>
    <t xml:space="preserve">2*19354.81 </t>
  </si>
  <si>
    <t xml:space="preserve">Helper </t>
  </si>
  <si>
    <t>4*19354.82</t>
  </si>
  <si>
    <t xml:space="preserve">Plant Labor </t>
  </si>
  <si>
    <t>4*19354.83</t>
  </si>
  <si>
    <t xml:space="preserve">Technical Training </t>
  </si>
  <si>
    <t xml:space="preserve">Total Variable O&amp;M Cost </t>
  </si>
  <si>
    <t>Total Variable O&amp;M Cost per TON</t>
  </si>
  <si>
    <t>Production</t>
  </si>
  <si>
    <t>Bio CNG</t>
  </si>
  <si>
    <t>Fertilizer</t>
  </si>
  <si>
    <t>Sales</t>
  </si>
  <si>
    <t>Net Sales</t>
  </si>
  <si>
    <t xml:space="preserve">Construction Year = </t>
  </si>
  <si>
    <t>Fixed Capital Cost</t>
  </si>
  <si>
    <t>Variable Capital Cost</t>
  </si>
  <si>
    <t>Fixed O&amp;M cost</t>
  </si>
  <si>
    <t>Variable O&amp;M cost</t>
  </si>
  <si>
    <t>Break down of Fixed Capital Cost</t>
  </si>
  <si>
    <t>Building and Civil Works</t>
  </si>
  <si>
    <t>Machinery and Equipments</t>
  </si>
  <si>
    <t>Vehicles</t>
  </si>
  <si>
    <t>Loan Agreement Period</t>
  </si>
  <si>
    <t>Fixed Interest Rate =</t>
  </si>
  <si>
    <t>Cumulative rate of interest =</t>
  </si>
  <si>
    <t>Future value of Debt after 10 years</t>
  </si>
  <si>
    <t>Installment amount</t>
  </si>
  <si>
    <t>Depreciation  Calculation</t>
  </si>
  <si>
    <t xml:space="preserve">Rate </t>
  </si>
  <si>
    <t>Cost of Asset</t>
  </si>
  <si>
    <t>Buildings and Civil Structure</t>
  </si>
  <si>
    <t>Total</t>
  </si>
  <si>
    <t>Interest Calculation</t>
  </si>
  <si>
    <t xml:space="preserve">Installement to be paid for 10 years </t>
  </si>
  <si>
    <t>Interest to be paid(Amount-Principal)</t>
  </si>
  <si>
    <t>Profit and Loss Statement</t>
  </si>
  <si>
    <t>BIO CNG</t>
  </si>
  <si>
    <t>Total Sales</t>
  </si>
  <si>
    <t xml:space="preserve">Cost </t>
  </si>
  <si>
    <t>Cost of Raw Materials</t>
  </si>
  <si>
    <t>Utilities</t>
  </si>
  <si>
    <t xml:space="preserve">Total Cost </t>
  </si>
  <si>
    <t>Operating Income</t>
  </si>
  <si>
    <t>Expenses</t>
  </si>
  <si>
    <t>Repair and Maintenance</t>
  </si>
  <si>
    <t>Direct Worker Salary</t>
  </si>
  <si>
    <t>Indirect Worker Salary</t>
  </si>
  <si>
    <t>Meeting/Training</t>
  </si>
  <si>
    <t>Office Overheads</t>
  </si>
  <si>
    <t>Pre Operating Cost</t>
  </si>
  <si>
    <t>Total Expenses</t>
  </si>
  <si>
    <t>EBIDTA</t>
  </si>
  <si>
    <t>EBIDTA Margin</t>
  </si>
  <si>
    <t>EBITA</t>
  </si>
  <si>
    <t>Interest on Loan</t>
  </si>
  <si>
    <t>Net Profit</t>
  </si>
  <si>
    <t>Net Profit Margin</t>
  </si>
  <si>
    <t>-</t>
  </si>
  <si>
    <t>Cash Flow</t>
  </si>
  <si>
    <t>``</t>
  </si>
  <si>
    <t>INFLOW</t>
  </si>
  <si>
    <t>Debt</t>
  </si>
  <si>
    <t>Total Inflow</t>
  </si>
  <si>
    <t>OUTFLOW</t>
  </si>
  <si>
    <t>Loan Installment</t>
  </si>
  <si>
    <t>Operating Cost</t>
  </si>
  <si>
    <t>Total Outflow</t>
  </si>
  <si>
    <t>Annual Cash Flow</t>
  </si>
  <si>
    <t>Financial Ratio</t>
  </si>
  <si>
    <t>NPV &amp; IRR</t>
  </si>
  <si>
    <t>Net Present Value</t>
  </si>
  <si>
    <t>Project IRR</t>
  </si>
  <si>
    <t>Pay back Period</t>
  </si>
  <si>
    <t>Cumulative Cash Flow</t>
  </si>
  <si>
    <t>Investment -Cash Flow</t>
  </si>
  <si>
    <t>Years</t>
  </si>
  <si>
    <t xml:space="preserve">Opening Balance </t>
  </si>
  <si>
    <t>Closing Balance</t>
  </si>
  <si>
    <t xml:space="preserve">Debt amount </t>
  </si>
  <si>
    <t>NOPAT</t>
  </si>
  <si>
    <t>Net Inflow (NOPAT+DEPT-Installment)</t>
  </si>
  <si>
    <t>Interest increases by 1% every year</t>
  </si>
  <si>
    <t>%</t>
  </si>
  <si>
    <t>Discounted In Flow</t>
  </si>
  <si>
    <t xml:space="preserve">9. For our case, we will take interest as 7% and loan payment time as 10 years. </t>
  </si>
  <si>
    <t>Mutiplication factor for Sensitivy Analysis</t>
  </si>
  <si>
    <t>Subsidy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</si>
</sst>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0.000"/>
    <numFmt numFmtId="165" formatCode="0.0000"/>
    <numFmt numFmtId="166" formatCode="0.0"/>
    <numFmt numFmtId="167" formatCode="0.0%"/>
    <numFmt numFmtId="168" formatCode="_-* #,##0.00_-;\-* #,##0.00_-;_-* &quot;-&quot;_-;_-@_-"/>
    <numFmt numFmtId="169" formatCode="0;[Black]\(0\)"/>
    <numFmt numFmtId="170" formatCode="_-* #,##0.0_-;\-* #,##0.0_-;_-* &quot;-&quot;_-;_-@_-"/>
    <numFmt numFmtId="171" formatCode="0;[Red]\(0\)"/>
    <numFmt numFmtId="172" formatCode="0.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vertAlign val="superscript"/>
      <sz val="11"/>
      <color theme="1"/>
      <name val="Calibri"/>
      <family val="2"/>
    </font>
    <font>
      <sz val="11"/>
      <color theme="1"/>
      <name val="Calibri"/>
      <family val="2"/>
    </font>
    <font>
      <b/>
      <sz val="18"/>
      <color theme="1"/>
      <name val="Calibri"/>
      <family val="2"/>
      <scheme val="minor"/>
    </font>
    <font>
      <sz val="11"/>
      <color theme="9" tint="-0.249977111117893"/>
      <name val="Calibri"/>
      <family val="2"/>
      <scheme val="minor"/>
    </font>
    <font>
      <b/>
      <sz val="13"/>
      <color rgb="FF000000"/>
      <name val="Calibri"/>
      <family val="2"/>
      <scheme val="minor"/>
    </font>
    <font>
      <sz val="10"/>
      <color rgb="FF000000"/>
      <name val="Calibri"/>
      <family val="2"/>
      <scheme val="minor"/>
    </font>
    <font>
      <b/>
      <sz val="10"/>
      <color rgb="FF000000"/>
      <name val="Calibri"/>
      <family val="2"/>
      <scheme val="minor"/>
    </font>
    <font>
      <b/>
      <sz val="12"/>
      <color rgb="FF000000"/>
      <name val="Calibri"/>
      <family val="2"/>
      <scheme val="minor"/>
    </font>
    <font>
      <sz val="10"/>
      <color theme="1"/>
      <name val="Calibri"/>
      <family val="2"/>
      <scheme val="minor"/>
    </font>
    <font>
      <b/>
      <sz val="10"/>
      <color theme="1"/>
      <name val="Calibri"/>
      <family val="2"/>
      <scheme val="minor"/>
    </font>
    <font>
      <b/>
      <sz val="11"/>
      <color rgb="FF000000"/>
      <name val="Calibri"/>
      <family val="2"/>
      <scheme val="minor"/>
    </font>
    <font>
      <b/>
      <sz val="11"/>
      <color theme="1"/>
      <name val="Calibri"/>
      <family val="2"/>
    </font>
    <font>
      <sz val="7"/>
      <color rgb="FF000000"/>
      <name val="Calibri"/>
      <family val="2"/>
      <scheme val="minor"/>
    </font>
    <font>
      <sz val="11"/>
      <color rgb="FF000000"/>
      <name val="Calibri"/>
      <family val="2"/>
      <scheme val="minor"/>
    </font>
  </fonts>
  <fills count="12">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399975585192419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162">
    <xf numFmtId="0" fontId="0" fillId="0" borderId="0" xfId="0"/>
    <xf numFmtId="0" fontId="3" fillId="2" borderId="0" xfId="0" applyFont="1" applyFill="1"/>
    <xf numFmtId="0" fontId="0" fillId="2" borderId="0" xfId="0" applyFill="1"/>
    <xf numFmtId="10" fontId="0" fillId="3" borderId="1" xfId="2" applyNumberFormat="1" applyFont="1" applyFill="1" applyBorder="1"/>
    <xf numFmtId="10" fontId="0" fillId="0" borderId="1" xfId="2" applyNumberFormat="1" applyFont="1" applyBorder="1"/>
    <xf numFmtId="0" fontId="0" fillId="3" borderId="1" xfId="0" applyFill="1" applyBorder="1"/>
    <xf numFmtId="0" fontId="0" fillId="0" borderId="1" xfId="0" applyBorder="1"/>
    <xf numFmtId="0" fontId="0" fillId="4" borderId="1" xfId="0" applyFill="1" applyBorder="1"/>
    <xf numFmtId="1" fontId="0" fillId="3" borderId="1" xfId="2" applyNumberFormat="1" applyFont="1" applyFill="1" applyBorder="1"/>
    <xf numFmtId="9" fontId="0" fillId="3" borderId="1" xfId="2" applyFont="1" applyFill="1" applyBorder="1"/>
    <xf numFmtId="10" fontId="0" fillId="4" borderId="1" xfId="2" applyNumberFormat="1" applyFont="1" applyFill="1" applyBorder="1"/>
    <xf numFmtId="2" fontId="0" fillId="4" borderId="1" xfId="2" applyNumberFormat="1" applyFont="1" applyFill="1" applyBorder="1"/>
    <xf numFmtId="164" fontId="0" fillId="3" borderId="1" xfId="2" applyNumberFormat="1" applyFont="1" applyFill="1" applyBorder="1"/>
    <xf numFmtId="164" fontId="0" fillId="4" borderId="1" xfId="2" applyNumberFormat="1" applyFont="1" applyFill="1" applyBorder="1"/>
    <xf numFmtId="165" fontId="0" fillId="3" borderId="1" xfId="2" applyNumberFormat="1" applyFont="1" applyFill="1" applyBorder="1"/>
    <xf numFmtId="165" fontId="0" fillId="4" borderId="1" xfId="2" applyNumberFormat="1" applyFont="1" applyFill="1" applyBorder="1"/>
    <xf numFmtId="1" fontId="0" fillId="0" borderId="0" xfId="0" applyNumberFormat="1"/>
    <xf numFmtId="2" fontId="0" fillId="4" borderId="1" xfId="2" applyNumberFormat="1" applyFont="1" applyFill="1" applyBorder="1" applyAlignment="1">
      <alignment horizontal="center"/>
    </xf>
    <xf numFmtId="10" fontId="0" fillId="4" borderId="1" xfId="2" applyNumberFormat="1" applyFont="1" applyFill="1" applyBorder="1" applyAlignment="1">
      <alignment horizontal="center"/>
    </xf>
    <xf numFmtId="2" fontId="0" fillId="0" borderId="1" xfId="0" applyNumberFormat="1" applyBorder="1"/>
    <xf numFmtId="0" fontId="0" fillId="0" borderId="8" xfId="0" applyBorder="1"/>
    <xf numFmtId="1" fontId="0" fillId="0" borderId="8" xfId="0" applyNumberFormat="1" applyBorder="1"/>
    <xf numFmtId="0" fontId="0" fillId="0" borderId="7" xfId="0" applyBorder="1" applyAlignment="1">
      <alignment horizontal="center" vertical="center"/>
    </xf>
    <xf numFmtId="0" fontId="0" fillId="0" borderId="7" xfId="0" applyBorder="1" applyAlignment="1">
      <alignment horizontal="right" vertical="center"/>
    </xf>
    <xf numFmtId="0" fontId="0" fillId="0" borderId="7" xfId="0" applyBorder="1"/>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6" xfId="0" applyBorder="1"/>
    <xf numFmtId="10" fontId="0" fillId="0" borderId="8" xfId="0" applyNumberFormat="1" applyBorder="1"/>
    <xf numFmtId="2" fontId="0" fillId="0" borderId="8" xfId="0" applyNumberFormat="1" applyBorder="1"/>
    <xf numFmtId="2" fontId="0" fillId="0" borderId="6" xfId="0" applyNumberFormat="1" applyBorder="1"/>
    <xf numFmtId="2" fontId="0" fillId="0" borderId="0" xfId="0" applyNumberFormat="1"/>
    <xf numFmtId="10" fontId="0" fillId="0" borderId="0" xfId="0" applyNumberFormat="1"/>
    <xf numFmtId="0" fontId="6" fillId="2" borderId="0" xfId="0" applyFont="1" applyFill="1"/>
    <xf numFmtId="1" fontId="6" fillId="2" borderId="0" xfId="0" applyNumberFormat="1" applyFont="1" applyFill="1"/>
    <xf numFmtId="10" fontId="6" fillId="2" borderId="0" xfId="0" applyNumberFormat="1" applyFont="1" applyFill="1"/>
    <xf numFmtId="1" fontId="0" fillId="2" borderId="0" xfId="0" applyNumberFormat="1" applyFill="1"/>
    <xf numFmtId="0" fontId="7" fillId="5" borderId="2" xfId="0" applyFont="1" applyFill="1" applyBorder="1"/>
    <xf numFmtId="0" fontId="7" fillId="5" borderId="10" xfId="0" applyFont="1" applyFill="1" applyBorder="1"/>
    <xf numFmtId="166" fontId="7" fillId="5" borderId="10" xfId="0" applyNumberFormat="1" applyFont="1" applyFill="1" applyBorder="1" applyAlignment="1">
      <alignment horizontal="center"/>
    </xf>
    <xf numFmtId="0" fontId="7" fillId="5" borderId="11" xfId="0" applyFont="1" applyFill="1" applyBorder="1"/>
    <xf numFmtId="0" fontId="7" fillId="5" borderId="12" xfId="0" applyFont="1" applyFill="1" applyBorder="1"/>
    <xf numFmtId="0" fontId="7" fillId="5" borderId="0" xfId="0" applyFont="1" applyFill="1"/>
    <xf numFmtId="0" fontId="7" fillId="5" borderId="13" xfId="0" applyFont="1" applyFill="1" applyBorder="1"/>
    <xf numFmtId="0" fontId="7" fillId="5" borderId="9" xfId="0" applyFont="1" applyFill="1" applyBorder="1"/>
    <xf numFmtId="0" fontId="7" fillId="5" borderId="14" xfId="0" applyFont="1" applyFill="1" applyBorder="1"/>
    <xf numFmtId="0" fontId="7" fillId="5" borderId="15" xfId="0" applyFont="1" applyFill="1" applyBorder="1"/>
    <xf numFmtId="0" fontId="0" fillId="0" borderId="9" xfId="0" applyBorder="1"/>
    <xf numFmtId="0" fontId="0" fillId="0" borderId="14" xfId="0" applyBorder="1"/>
    <xf numFmtId="1" fontId="0" fillId="0" borderId="8" xfId="2" applyNumberFormat="1" applyFont="1" applyFill="1" applyBorder="1"/>
    <xf numFmtId="9" fontId="0" fillId="0" borderId="8" xfId="2" applyFont="1" applyFill="1" applyBorder="1"/>
    <xf numFmtId="167" fontId="0" fillId="0" borderId="8" xfId="0" applyNumberFormat="1" applyBorder="1"/>
    <xf numFmtId="0" fontId="8" fillId="0" borderId="0" xfId="0" applyFont="1"/>
    <xf numFmtId="0" fontId="9" fillId="0" borderId="8" xfId="0" applyFont="1" applyBorder="1" applyAlignment="1">
      <alignment vertical="center" wrapText="1"/>
    </xf>
    <xf numFmtId="0" fontId="10" fillId="0" borderId="8" xfId="0" applyFont="1" applyBorder="1" applyAlignment="1">
      <alignment vertical="center" wrapText="1"/>
    </xf>
    <xf numFmtId="0" fontId="9" fillId="0" borderId="8" xfId="0" applyFont="1" applyBorder="1" applyAlignment="1">
      <alignment horizontal="left" vertical="center" wrapText="1"/>
    </xf>
    <xf numFmtId="167" fontId="9" fillId="0" borderId="8" xfId="2" applyNumberFormat="1" applyFont="1" applyFill="1" applyBorder="1" applyAlignment="1">
      <alignment horizontal="left" vertical="center" wrapText="1"/>
    </xf>
    <xf numFmtId="0" fontId="11" fillId="0" borderId="0" xfId="0" applyFont="1"/>
    <xf numFmtId="0" fontId="9" fillId="6" borderId="8" xfId="0" applyFont="1" applyFill="1" applyBorder="1" applyAlignment="1">
      <alignment vertical="center" wrapText="1"/>
    </xf>
    <xf numFmtId="0" fontId="12" fillId="0" borderId="8" xfId="0" applyFont="1" applyBorder="1"/>
    <xf numFmtId="168" fontId="13" fillId="7" borderId="8" xfId="0" applyNumberFormat="1" applyFont="1" applyFill="1" applyBorder="1"/>
    <xf numFmtId="168" fontId="0" fillId="0" borderId="0" xfId="1" applyNumberFormat="1" applyFont="1" applyFill="1" applyBorder="1"/>
    <xf numFmtId="4" fontId="9" fillId="0" borderId="8" xfId="0" applyNumberFormat="1" applyFont="1" applyBorder="1" applyAlignment="1">
      <alignment vertical="center" wrapText="1"/>
    </xf>
    <xf numFmtId="168" fontId="12" fillId="0" borderId="8" xfId="1" applyNumberFormat="1" applyFont="1" applyBorder="1"/>
    <xf numFmtId="168" fontId="12" fillId="0" borderId="8" xfId="0" applyNumberFormat="1" applyFont="1" applyBorder="1"/>
    <xf numFmtId="168" fontId="1" fillId="0" borderId="0" xfId="1" applyNumberFormat="1" applyFont="1" applyFill="1" applyBorder="1"/>
    <xf numFmtId="168" fontId="13" fillId="7" borderId="8" xfId="1" applyNumberFormat="1" applyFont="1" applyFill="1" applyBorder="1"/>
    <xf numFmtId="43" fontId="0" fillId="0" borderId="0" xfId="0" applyNumberFormat="1"/>
    <xf numFmtId="0" fontId="14" fillId="0" borderId="8" xfId="0" applyFont="1" applyBorder="1" applyAlignment="1">
      <alignment vertical="center" wrapText="1"/>
    </xf>
    <xf numFmtId="168" fontId="13" fillId="0" borderId="8" xfId="1" applyNumberFormat="1" applyFont="1" applyBorder="1"/>
    <xf numFmtId="168" fontId="13" fillId="0" borderId="8" xfId="0" applyNumberFormat="1" applyFont="1" applyBorder="1"/>
    <xf numFmtId="43" fontId="2" fillId="0" borderId="8" xfId="0" applyNumberFormat="1" applyFont="1" applyBorder="1"/>
    <xf numFmtId="0" fontId="0" fillId="7" borderId="0" xfId="0" applyFill="1"/>
    <xf numFmtId="4" fontId="10" fillId="0" borderId="8" xfId="0" applyNumberFormat="1" applyFont="1" applyBorder="1" applyAlignment="1">
      <alignment vertical="center" wrapText="1"/>
    </xf>
    <xf numFmtId="4" fontId="14" fillId="0" borderId="8" xfId="0" applyNumberFormat="1" applyFont="1" applyBorder="1" applyAlignment="1">
      <alignment vertical="center" wrapText="1"/>
    </xf>
    <xf numFmtId="0" fontId="10" fillId="0" borderId="0" xfId="0" applyFont="1" applyAlignment="1">
      <alignment vertical="center" wrapText="1"/>
    </xf>
    <xf numFmtId="0" fontId="9" fillId="0" borderId="0" xfId="0" applyFont="1" applyAlignment="1">
      <alignment vertical="center" wrapText="1"/>
    </xf>
    <xf numFmtId="4" fontId="9" fillId="0" borderId="0" xfId="0" applyNumberFormat="1" applyFont="1" applyAlignment="1">
      <alignment vertical="center" wrapText="1"/>
    </xf>
    <xf numFmtId="0" fontId="11" fillId="0" borderId="8" xfId="0" applyFont="1" applyBorder="1"/>
    <xf numFmtId="9" fontId="9" fillId="0" borderId="8" xfId="0" applyNumberFormat="1" applyFont="1" applyBorder="1" applyAlignment="1">
      <alignment vertical="center" wrapText="1"/>
    </xf>
    <xf numFmtId="43" fontId="0" fillId="0" borderId="8" xfId="0" applyNumberFormat="1" applyBorder="1"/>
    <xf numFmtId="168" fontId="0" fillId="0" borderId="8" xfId="1" applyNumberFormat="1" applyFont="1" applyBorder="1"/>
    <xf numFmtId="4" fontId="9" fillId="0" borderId="8" xfId="0" applyNumberFormat="1" applyFont="1" applyBorder="1" applyAlignment="1">
      <alignment horizontal="center" vertical="center" wrapText="1"/>
    </xf>
    <xf numFmtId="0" fontId="9" fillId="0" borderId="8" xfId="0" applyFont="1" applyBorder="1" applyAlignment="1">
      <alignment horizontal="center" vertical="center" wrapText="1"/>
    </xf>
    <xf numFmtId="4" fontId="10" fillId="0" borderId="0" xfId="0" applyNumberFormat="1" applyFont="1" applyAlignment="1">
      <alignment vertical="center" wrapText="1"/>
    </xf>
    <xf numFmtId="43" fontId="12" fillId="0" borderId="8" xfId="0" applyNumberFormat="1" applyFont="1" applyBorder="1"/>
    <xf numFmtId="0" fontId="2" fillId="8" borderId="8" xfId="0" applyFont="1" applyFill="1" applyBorder="1"/>
    <xf numFmtId="168" fontId="0" fillId="0" borderId="8" xfId="1" applyNumberFormat="1" applyFont="1" applyFill="1" applyBorder="1"/>
    <xf numFmtId="168" fontId="0" fillId="0" borderId="0" xfId="1" applyNumberFormat="1" applyFont="1" applyFill="1"/>
    <xf numFmtId="168" fontId="0" fillId="6" borderId="8" xfId="0" applyNumberFormat="1" applyFill="1" applyBorder="1"/>
    <xf numFmtId="0" fontId="0" fillId="6" borderId="0" xfId="0" applyFill="1"/>
    <xf numFmtId="0" fontId="2" fillId="0" borderId="8" xfId="0" applyFont="1" applyBorder="1"/>
    <xf numFmtId="41" fontId="0" fillId="0" borderId="0" xfId="0" applyNumberFormat="1"/>
    <xf numFmtId="168" fontId="0" fillId="0" borderId="8" xfId="0" applyNumberFormat="1" applyBorder="1"/>
    <xf numFmtId="168" fontId="0" fillId="0" borderId="0" xfId="0" applyNumberFormat="1"/>
    <xf numFmtId="41" fontId="0" fillId="0" borderId="8" xfId="0" applyNumberFormat="1" applyBorder="1"/>
    <xf numFmtId="9" fontId="0" fillId="0" borderId="8" xfId="2" applyFont="1" applyBorder="1"/>
    <xf numFmtId="43" fontId="0" fillId="0" borderId="6" xfId="0" applyNumberFormat="1" applyBorder="1"/>
    <xf numFmtId="0" fontId="0" fillId="0" borderId="8" xfId="0" applyBorder="1" applyAlignment="1">
      <alignment wrapText="1"/>
    </xf>
    <xf numFmtId="0" fontId="0" fillId="0" borderId="0" xfId="0" applyAlignment="1">
      <alignment wrapText="1"/>
    </xf>
    <xf numFmtId="0" fontId="2" fillId="8" borderId="0" xfId="0" applyFont="1" applyFill="1"/>
    <xf numFmtId="0" fontId="2" fillId="9" borderId="6" xfId="0" applyFont="1" applyFill="1" applyBorder="1"/>
    <xf numFmtId="0" fontId="2" fillId="9" borderId="3" xfId="0" applyFont="1" applyFill="1" applyBorder="1"/>
    <xf numFmtId="0" fontId="2" fillId="9" borderId="4" xfId="0" applyFont="1" applyFill="1" applyBorder="1"/>
    <xf numFmtId="0" fontId="15" fillId="9" borderId="6" xfId="0" applyFont="1" applyFill="1" applyBorder="1"/>
    <xf numFmtId="0" fontId="0" fillId="9" borderId="3" xfId="0" applyFill="1" applyBorder="1"/>
    <xf numFmtId="0" fontId="0" fillId="9" borderId="4" xfId="0" applyFill="1" applyBorder="1"/>
    <xf numFmtId="0" fontId="0" fillId="9" borderId="6" xfId="0" applyFill="1" applyBorder="1"/>
    <xf numFmtId="4" fontId="0" fillId="0" borderId="8" xfId="0" applyNumberFormat="1" applyBorder="1"/>
    <xf numFmtId="0" fontId="2" fillId="9" borderId="8" xfId="0" applyFont="1" applyFill="1" applyBorder="1"/>
    <xf numFmtId="168" fontId="0" fillId="9" borderId="8" xfId="0" applyNumberFormat="1" applyFill="1" applyBorder="1"/>
    <xf numFmtId="169" fontId="0" fillId="9" borderId="8" xfId="0" applyNumberFormat="1" applyFill="1" applyBorder="1"/>
    <xf numFmtId="10" fontId="0" fillId="0" borderId="8" xfId="2" applyNumberFormat="1" applyFont="1" applyBorder="1"/>
    <xf numFmtId="1" fontId="0" fillId="9" borderId="8" xfId="0" applyNumberFormat="1" applyFill="1" applyBorder="1"/>
    <xf numFmtId="170" fontId="0" fillId="9" borderId="8" xfId="0" applyNumberFormat="1" applyFill="1" applyBorder="1"/>
    <xf numFmtId="169" fontId="0" fillId="0" borderId="8" xfId="0" applyNumberFormat="1" applyBorder="1"/>
    <xf numFmtId="0" fontId="0" fillId="9" borderId="8" xfId="0" applyFill="1" applyBorder="1"/>
    <xf numFmtId="0" fontId="0" fillId="9" borderId="8" xfId="2" applyNumberFormat="1" applyFont="1" applyFill="1" applyBorder="1"/>
    <xf numFmtId="10" fontId="0" fillId="9" borderId="8" xfId="2" applyNumberFormat="1" applyFont="1" applyFill="1" applyBorder="1"/>
    <xf numFmtId="1" fontId="2" fillId="8" borderId="8" xfId="0" applyNumberFormat="1" applyFont="1" applyFill="1" applyBorder="1"/>
    <xf numFmtId="1" fontId="0" fillId="0" borderId="8" xfId="1" applyNumberFormat="1" applyFont="1" applyBorder="1"/>
    <xf numFmtId="168" fontId="0" fillId="3" borderId="8" xfId="1" applyNumberFormat="1" applyFont="1" applyFill="1" applyBorder="1"/>
    <xf numFmtId="168" fontId="16" fillId="0" borderId="8" xfId="1" applyNumberFormat="1" applyFont="1" applyBorder="1" applyAlignment="1">
      <alignment vertical="center" wrapText="1"/>
    </xf>
    <xf numFmtId="168" fontId="17" fillId="0" borderId="8" xfId="1" applyNumberFormat="1" applyFont="1" applyBorder="1" applyAlignment="1">
      <alignment vertical="center" wrapText="1"/>
    </xf>
    <xf numFmtId="1" fontId="0" fillId="7" borderId="8" xfId="1" applyNumberFormat="1" applyFont="1" applyFill="1" applyBorder="1"/>
    <xf numFmtId="168" fontId="0" fillId="7" borderId="8" xfId="1" applyNumberFormat="1" applyFont="1" applyFill="1" applyBorder="1"/>
    <xf numFmtId="1" fontId="0" fillId="0" borderId="8" xfId="1" applyNumberFormat="1" applyFont="1" applyFill="1" applyBorder="1"/>
    <xf numFmtId="168" fontId="0" fillId="10" borderId="8" xfId="1" applyNumberFormat="1" applyFont="1" applyFill="1" applyBorder="1"/>
    <xf numFmtId="1" fontId="0" fillId="9" borderId="8" xfId="1" applyNumberFormat="1" applyFont="1" applyFill="1" applyBorder="1"/>
    <xf numFmtId="171" fontId="0" fillId="0" borderId="0" xfId="0" applyNumberFormat="1"/>
    <xf numFmtId="10" fontId="0" fillId="0" borderId="0" xfId="2" applyNumberFormat="1" applyFont="1"/>
    <xf numFmtId="1" fontId="2" fillId="2" borderId="8" xfId="0" applyNumberFormat="1" applyFont="1" applyFill="1" applyBorder="1"/>
    <xf numFmtId="172" fontId="0" fillId="0" borderId="8" xfId="2" applyNumberFormat="1" applyFont="1" applyBorder="1"/>
    <xf numFmtId="1" fontId="0" fillId="0" borderId="6" xfId="0" applyNumberFormat="1" applyBorder="1"/>
    <xf numFmtId="0" fontId="2" fillId="2" borderId="8" xfId="0" applyFont="1" applyFill="1" applyBorder="1"/>
    <xf numFmtId="2" fontId="0" fillId="0" borderId="1" xfId="2" applyNumberFormat="1" applyFont="1" applyBorder="1"/>
    <xf numFmtId="1" fontId="2" fillId="11" borderId="8" xfId="0" applyNumberFormat="1" applyFont="1" applyFill="1" applyBorder="1"/>
    <xf numFmtId="1" fontId="2" fillId="11" borderId="6" xfId="0" applyNumberFormat="1" applyFont="1" applyFill="1" applyBorder="1"/>
    <xf numFmtId="1" fontId="2" fillId="11" borderId="3" xfId="0" applyNumberFormat="1" applyFont="1" applyFill="1" applyBorder="1"/>
    <xf numFmtId="1" fontId="2" fillId="11" borderId="4" xfId="0" applyNumberFormat="1" applyFont="1" applyFill="1" applyBorder="1"/>
    <xf numFmtId="170" fontId="0" fillId="0" borderId="8" xfId="0" applyNumberFormat="1" applyBorder="1"/>
    <xf numFmtId="9" fontId="0" fillId="0" borderId="0" xfId="2" applyFont="1"/>
    <xf numFmtId="168" fontId="1" fillId="0" borderId="8" xfId="1" applyNumberFormat="1" applyFont="1" applyBorder="1"/>
    <xf numFmtId="168" fontId="2" fillId="0" borderId="8" xfId="0" applyNumberFormat="1" applyFont="1" applyBorder="1"/>
    <xf numFmtId="167" fontId="9" fillId="0" borderId="8" xfId="0" applyNumberFormat="1" applyFont="1" applyBorder="1" applyAlignment="1">
      <alignment horizontal="left" vertical="center" wrapText="1"/>
    </xf>
    <xf numFmtId="41" fontId="0" fillId="0" borderId="8" xfId="1" applyFont="1" applyBorder="1"/>
    <xf numFmtId="0" fontId="0" fillId="0" borderId="8" xfId="0" applyBorder="1" applyAlignment="1">
      <alignment horizontal="center"/>
    </xf>
    <xf numFmtId="1" fontId="15" fillId="9" borderId="6" xfId="0" applyNumberFormat="1" applyFont="1" applyFill="1" applyBorder="1" applyAlignment="1">
      <alignment horizontal="center"/>
    </xf>
    <xf numFmtId="1" fontId="0" fillId="9" borderId="3" xfId="0" applyNumberFormat="1" applyFill="1" applyBorder="1" applyAlignment="1">
      <alignment horizontal="center"/>
    </xf>
    <xf numFmtId="1" fontId="0" fillId="9" borderId="4" xfId="0" applyNumberFormat="1" applyFill="1" applyBorder="1" applyAlignment="1">
      <alignment horizontal="center"/>
    </xf>
    <xf numFmtId="1" fontId="15" fillId="9" borderId="6" xfId="1" applyNumberFormat="1" applyFont="1" applyFill="1" applyBorder="1" applyAlignment="1">
      <alignment horizontal="center"/>
    </xf>
    <xf numFmtId="1" fontId="0" fillId="9" borderId="3" xfId="1" applyNumberFormat="1" applyFont="1" applyFill="1" applyBorder="1" applyAlignment="1">
      <alignment horizontal="center"/>
    </xf>
    <xf numFmtId="1" fontId="0" fillId="9" borderId="4" xfId="1" applyNumberFormat="1"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cellXfs>
  <cellStyles count="3">
    <cellStyle name="Comma [0]" xfId="1" builtinId="6"/>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p\Desktop\Thesis\Excel%20Sheets\Annex%20I%20=%20Mass%20Balance%20of%20WWTP.xlsx" TargetMode="External"/><Relationship Id="rId1" Type="http://schemas.openxmlformats.org/officeDocument/2006/relationships/externalLinkPath" Target="Annex%20I%20=%20Mass%20Balance%20of%20WWTP.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Hp\Desktop\Thesis\Excel%20Sheets\Annex%20II%20=Estimation%20of%20BioCNG%20and%20Organic%20Manure%20for%20Kathmandu%20Valley(2024-2044).xlsx" TargetMode="External"/><Relationship Id="rId1" Type="http://schemas.openxmlformats.org/officeDocument/2006/relationships/externalLinkPath" Target="Annex%20II%20=Estimation%20of%20BioCNG%20and%20Organic%20Manure%20for%20Kathmandu%20Valley(2024-20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5th Iteration"/>
      <sheetName val="4th Iteration"/>
      <sheetName val="3rd Iteration"/>
      <sheetName val="2nd Iteration"/>
      <sheetName val="1st Iteration"/>
    </sheetNames>
    <sheetDataSet>
      <sheetData sheetId="0"/>
      <sheetData sheetId="1">
        <row r="10">
          <cell r="H10">
            <v>32400</v>
          </cell>
        </row>
        <row r="125">
          <cell r="H125">
            <v>0.06</v>
          </cell>
        </row>
        <row r="129">
          <cell r="H129">
            <v>6123.8613048022107</v>
          </cell>
        </row>
        <row r="165">
          <cell r="H165">
            <v>0.05</v>
          </cell>
        </row>
        <row r="169">
          <cell r="H169">
            <v>1623.2495799929495</v>
          </cell>
        </row>
        <row r="212">
          <cell r="H212">
            <v>877.16483376753115</v>
          </cell>
        </row>
        <row r="222">
          <cell r="H222">
            <v>134529.34667989585</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stimation"/>
    </sheetNames>
    <sheetDataSet>
      <sheetData sheetId="0">
        <row r="29">
          <cell r="C29">
            <v>144.85971329194629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6DF3A-5706-48D0-A87E-AC36B1E14D82}">
  <dimension ref="A1:AA336"/>
  <sheetViews>
    <sheetView tabSelected="1" topLeftCell="A300" zoomScale="110" zoomScaleNormal="110" workbookViewId="0">
      <selection activeCell="A318" sqref="A318"/>
    </sheetView>
  </sheetViews>
  <sheetFormatPr defaultRowHeight="15" x14ac:dyDescent="0.25"/>
  <cols>
    <col min="1" max="1" width="32.5703125" customWidth="1"/>
    <col min="2" max="2" width="23" customWidth="1"/>
    <col min="3" max="3" width="24.7109375" customWidth="1"/>
    <col min="4" max="4" width="20" customWidth="1"/>
    <col min="5" max="5" width="21.42578125" customWidth="1"/>
    <col min="6" max="6" width="25" bestFit="1" customWidth="1"/>
    <col min="7" max="7" width="21" customWidth="1"/>
    <col min="8" max="8" width="20.140625" bestFit="1" customWidth="1"/>
    <col min="9" max="10" width="20.42578125" customWidth="1"/>
    <col min="11" max="11" width="20.28515625" customWidth="1"/>
    <col min="12" max="12" width="21" customWidth="1"/>
    <col min="13" max="13" width="20.85546875" bestFit="1" customWidth="1"/>
    <col min="14" max="14" width="20.28515625" customWidth="1"/>
    <col min="15" max="15" width="20.85546875" customWidth="1"/>
    <col min="16" max="16" width="22.28515625" customWidth="1"/>
    <col min="17" max="17" width="20.140625" customWidth="1"/>
    <col min="18" max="18" width="20.28515625" customWidth="1"/>
    <col min="19" max="19" width="20" customWidth="1"/>
    <col min="20" max="20" width="20.5703125" customWidth="1"/>
    <col min="21" max="22" width="20.42578125" customWidth="1"/>
    <col min="23" max="23" width="18.7109375" customWidth="1"/>
    <col min="24" max="24" width="19" customWidth="1"/>
    <col min="25" max="25" width="18.7109375" customWidth="1"/>
    <col min="26" max="26" width="19.28515625" customWidth="1"/>
  </cols>
  <sheetData>
    <row r="1" spans="1:7" ht="26.25" x14ac:dyDescent="0.4">
      <c r="A1" s="1" t="s">
        <v>0</v>
      </c>
      <c r="B1" s="1"/>
      <c r="C1" s="1"/>
      <c r="D1" s="1"/>
      <c r="E1" s="2"/>
      <c r="F1" s="2"/>
    </row>
    <row r="3" spans="1:7" ht="15.75" thickBot="1" x14ac:dyDescent="0.3">
      <c r="A3" t="s">
        <v>1</v>
      </c>
    </row>
    <row r="4" spans="1:7" ht="15.75" thickBot="1" x14ac:dyDescent="0.3">
      <c r="A4" t="s">
        <v>2</v>
      </c>
      <c r="C4" s="3">
        <f>0.7</f>
        <v>0.7</v>
      </c>
    </row>
    <row r="5" spans="1:7" ht="15.75" thickBot="1" x14ac:dyDescent="0.3">
      <c r="A5" t="s">
        <v>3</v>
      </c>
      <c r="C5" s="3">
        <f>0.9</f>
        <v>0.9</v>
      </c>
      <c r="E5" s="154" t="s">
        <v>4</v>
      </c>
      <c r="F5" s="155"/>
      <c r="G5" s="156"/>
    </row>
    <row r="6" spans="1:7" ht="15.75" thickBot="1" x14ac:dyDescent="0.3">
      <c r="A6" t="s">
        <v>5</v>
      </c>
      <c r="C6" s="4">
        <f>(C5-C4)/(11)</f>
        <v>1.8181818181818188E-2</v>
      </c>
      <c r="E6" s="5"/>
      <c r="F6" s="157" t="s">
        <v>6</v>
      </c>
      <c r="G6" s="158"/>
    </row>
    <row r="7" spans="1:7" ht="15.75" thickBot="1" x14ac:dyDescent="0.3">
      <c r="A7" t="s">
        <v>7</v>
      </c>
      <c r="C7" s="4">
        <f>C4+(C6*5)</f>
        <v>0.79090909090909089</v>
      </c>
      <c r="E7" s="6"/>
      <c r="F7" s="157" t="s">
        <v>8</v>
      </c>
      <c r="G7" s="158"/>
    </row>
    <row r="8" spans="1:7" ht="15.75" thickBot="1" x14ac:dyDescent="0.3">
      <c r="A8" t="s">
        <v>9</v>
      </c>
      <c r="C8" s="4">
        <v>1</v>
      </c>
      <c r="E8" s="7"/>
      <c r="F8" s="157" t="s">
        <v>10</v>
      </c>
      <c r="G8" s="158"/>
    </row>
    <row r="9" spans="1:7" ht="15.75" thickBot="1" x14ac:dyDescent="0.3">
      <c r="A9" t="s">
        <v>11</v>
      </c>
      <c r="C9" s="8">
        <v>2041587</v>
      </c>
    </row>
    <row r="10" spans="1:7" ht="15.75" thickBot="1" x14ac:dyDescent="0.3">
      <c r="A10" t="s">
        <v>12</v>
      </c>
      <c r="C10" s="3">
        <v>1.5100000000000001E-2</v>
      </c>
    </row>
    <row r="11" spans="1:7" ht="15.75" thickBot="1" x14ac:dyDescent="0.3">
      <c r="A11" t="s">
        <v>13</v>
      </c>
      <c r="C11" s="8">
        <v>551667</v>
      </c>
    </row>
    <row r="12" spans="1:7" ht="15.75" thickBot="1" x14ac:dyDescent="0.3">
      <c r="A12" t="s">
        <v>12</v>
      </c>
      <c r="C12" s="3">
        <v>1.5800000000000002E-2</v>
      </c>
    </row>
    <row r="13" spans="1:7" ht="15.75" thickBot="1" x14ac:dyDescent="0.3">
      <c r="A13" t="s">
        <v>14</v>
      </c>
      <c r="C13" s="8">
        <v>432132</v>
      </c>
    </row>
    <row r="14" spans="1:7" ht="15.75" thickBot="1" x14ac:dyDescent="0.3">
      <c r="A14" t="s">
        <v>12</v>
      </c>
      <c r="C14" s="3">
        <v>3.3500000000000002E-2</v>
      </c>
    </row>
    <row r="15" spans="1:7" ht="15.75" thickBot="1" x14ac:dyDescent="0.3">
      <c r="A15" t="s">
        <v>15</v>
      </c>
      <c r="C15" s="8">
        <v>117</v>
      </c>
      <c r="D15" t="s">
        <v>16</v>
      </c>
    </row>
    <row r="16" spans="1:7" ht="15.75" thickBot="1" x14ac:dyDescent="0.3">
      <c r="A16" t="s">
        <v>17</v>
      </c>
      <c r="C16" s="8">
        <v>150</v>
      </c>
      <c r="D16" t="s">
        <v>16</v>
      </c>
    </row>
    <row r="17" spans="1:6" ht="15.75" thickBot="1" x14ac:dyDescent="0.3">
      <c r="A17" t="s">
        <v>18</v>
      </c>
      <c r="C17" s="9">
        <v>0.8</v>
      </c>
    </row>
    <row r="18" spans="1:6" ht="15.75" thickBot="1" x14ac:dyDescent="0.3">
      <c r="A18" t="s">
        <v>19</v>
      </c>
      <c r="C18" s="10">
        <f>((('[1]4th Iteration'!$H$129*'[1]4th Iteration'!$H$125)+('[1]4th Iteration'!$H$169*'[1]4th Iteration'!$H$165))/('[1]4th Iteration'!$H$129+'[1]4th Iteration'!$H$169))</f>
        <v>5.7904703309231295E-2</v>
      </c>
      <c r="D18" t="s">
        <v>20</v>
      </c>
    </row>
    <row r="19" spans="1:6" ht="15.75" thickBot="1" x14ac:dyDescent="0.3">
      <c r="A19" t="s">
        <v>21</v>
      </c>
      <c r="C19" s="11">
        <f>('[1]4th Iteration'!$H$222/'[1]4th Iteration'!$H$10)*1000</f>
        <v>4152.1403296264152</v>
      </c>
      <c r="D19" t="s">
        <v>22</v>
      </c>
    </row>
    <row r="20" spans="1:6" ht="15.75" thickBot="1" x14ac:dyDescent="0.3">
      <c r="A20" t="s">
        <v>23</v>
      </c>
      <c r="C20" s="12">
        <v>1.123</v>
      </c>
    </row>
    <row r="21" spans="1:6" ht="18" thickBot="1" x14ac:dyDescent="0.3">
      <c r="A21" t="s">
        <v>24</v>
      </c>
      <c r="C21" s="13">
        <f>('[1]4th Iteration'!$H$212/'[1]4th Iteration'!$H$222)*1000</f>
        <v>6.5202489673475474</v>
      </c>
      <c r="D21" t="s">
        <v>25</v>
      </c>
    </row>
    <row r="22" spans="1:6" ht="18" thickBot="1" x14ac:dyDescent="0.3">
      <c r="A22" t="s">
        <v>26</v>
      </c>
      <c r="C22" s="13">
        <f>(C21*C19)/1000</f>
        <v>27.072988696528739</v>
      </c>
      <c r="D22" t="s">
        <v>27</v>
      </c>
    </row>
    <row r="23" spans="1:6" ht="18" thickBot="1" x14ac:dyDescent="0.3">
      <c r="A23" t="s">
        <v>28</v>
      </c>
      <c r="C23" s="14">
        <v>0.7157</v>
      </c>
      <c r="D23" t="s">
        <v>29</v>
      </c>
    </row>
    <row r="24" spans="1:6" ht="15.75" thickBot="1" x14ac:dyDescent="0.3">
      <c r="A24" t="s">
        <v>30</v>
      </c>
      <c r="C24" s="15">
        <f>C23*C22</f>
        <v>19.37613801010562</v>
      </c>
      <c r="D24" t="s">
        <v>22</v>
      </c>
    </row>
    <row r="25" spans="1:6" ht="15.75" thickBot="1" x14ac:dyDescent="0.3">
      <c r="A25" t="s">
        <v>31</v>
      </c>
      <c r="C25" s="11">
        <f>[2]Estimation!$C$29</f>
        <v>144.85971329194629</v>
      </c>
      <c r="D25" t="s">
        <v>32</v>
      </c>
    </row>
    <row r="26" spans="1:6" ht="15.75" thickBot="1" x14ac:dyDescent="0.3">
      <c r="A26" t="s">
        <v>33</v>
      </c>
      <c r="C26" s="11">
        <f>(C25*C19)/1000</f>
        <v>601.47785769760992</v>
      </c>
      <c r="D26" t="s">
        <v>22</v>
      </c>
      <c r="F26" s="16"/>
    </row>
    <row r="27" spans="1:6" ht="15.75" thickBot="1" x14ac:dyDescent="0.3">
      <c r="A27" t="s">
        <v>34</v>
      </c>
      <c r="C27" s="17" t="s">
        <v>35</v>
      </c>
      <c r="F27" s="16"/>
    </row>
    <row r="28" spans="1:6" ht="15.75" thickBot="1" x14ac:dyDescent="0.3">
      <c r="A28" t="s">
        <v>36</v>
      </c>
      <c r="C28" s="18">
        <f>(22+10%*22)%</f>
        <v>0.24199999999999999</v>
      </c>
      <c r="F28" s="16"/>
    </row>
    <row r="29" spans="1:6" ht="15.75" thickBot="1" x14ac:dyDescent="0.3">
      <c r="A29" t="s">
        <v>37</v>
      </c>
      <c r="C29" s="17">
        <f>C26*C28</f>
        <v>145.5576415628216</v>
      </c>
      <c r="D29" t="s">
        <v>22</v>
      </c>
      <c r="F29" s="16"/>
    </row>
    <row r="30" spans="1:6" ht="15.75" thickBot="1" x14ac:dyDescent="0.3">
      <c r="A30" t="s">
        <v>38</v>
      </c>
      <c r="C30" s="136">
        <f>(C25*C28)/0.7</f>
        <v>50.080072309501432</v>
      </c>
      <c r="D30" t="s">
        <v>39</v>
      </c>
    </row>
    <row r="31" spans="1:6" ht="15.75" thickBot="1" x14ac:dyDescent="0.3">
      <c r="A31" t="s">
        <v>40</v>
      </c>
      <c r="C31" s="19">
        <f>(C26*C28)/0.7</f>
        <v>207.93948794688802</v>
      </c>
      <c r="D31" t="s">
        <v>41</v>
      </c>
    </row>
    <row r="33" spans="1:18" x14ac:dyDescent="0.25">
      <c r="A33" s="159" t="s">
        <v>42</v>
      </c>
      <c r="B33" s="161" t="s">
        <v>43</v>
      </c>
      <c r="C33" s="155"/>
      <c r="D33" s="156"/>
    </row>
    <row r="34" spans="1:18" x14ac:dyDescent="0.25">
      <c r="A34" s="160"/>
      <c r="B34" s="20" t="s">
        <v>44</v>
      </c>
      <c r="C34" s="20" t="s">
        <v>45</v>
      </c>
      <c r="D34" s="20" t="s">
        <v>46</v>
      </c>
    </row>
    <row r="35" spans="1:18" x14ac:dyDescent="0.25">
      <c r="A35" s="20">
        <f>2021</f>
        <v>2021</v>
      </c>
      <c r="B35" s="21">
        <f>C9</f>
        <v>2041587</v>
      </c>
      <c r="C35" s="21">
        <f>C11</f>
        <v>551667</v>
      </c>
      <c r="D35" s="21">
        <f>C13</f>
        <v>432132</v>
      </c>
    </row>
    <row r="36" spans="1:18" x14ac:dyDescent="0.25">
      <c r="A36" s="20">
        <v>2022</v>
      </c>
      <c r="B36" s="21">
        <f t="shared" ref="B36:B58" si="0">$B$35*((1+$C$10)^(A36-$A$35))</f>
        <v>2072414.9636999997</v>
      </c>
      <c r="C36" s="21">
        <f t="shared" ref="C36:C58" si="1">$C$35*((1+$C$12)^(A36-$A$35))</f>
        <v>560383.33860000002</v>
      </c>
      <c r="D36" s="21">
        <f t="shared" ref="D36:D58" si="2">$D$35*((1+$C$14)^(A36-$A$35))</f>
        <v>446608.42200000002</v>
      </c>
      <c r="E36" s="16"/>
      <c r="H36" s="16"/>
      <c r="I36" s="16"/>
      <c r="L36" s="16"/>
      <c r="O36" s="16"/>
      <c r="R36" s="16"/>
    </row>
    <row r="37" spans="1:18" x14ac:dyDescent="0.25">
      <c r="A37" s="20">
        <v>2023</v>
      </c>
      <c r="B37" s="21">
        <f t="shared" si="0"/>
        <v>2103708.4296518695</v>
      </c>
      <c r="C37" s="21">
        <f t="shared" si="1"/>
        <v>569237.3953498801</v>
      </c>
      <c r="D37" s="21">
        <f t="shared" si="2"/>
        <v>461569.80413700012</v>
      </c>
      <c r="E37" s="16"/>
      <c r="H37" s="16"/>
      <c r="I37" s="16"/>
      <c r="L37" s="16"/>
      <c r="O37" s="16"/>
      <c r="R37" s="16"/>
    </row>
    <row r="38" spans="1:18" x14ac:dyDescent="0.25">
      <c r="A38" s="20">
        <f>A37+1</f>
        <v>2024</v>
      </c>
      <c r="B38" s="21">
        <f t="shared" si="0"/>
        <v>2135474.4269396127</v>
      </c>
      <c r="C38" s="21">
        <f t="shared" si="1"/>
        <v>578231.34619640815</v>
      </c>
      <c r="D38" s="21">
        <f t="shared" si="2"/>
        <v>477032.39257558965</v>
      </c>
      <c r="E38" s="16"/>
      <c r="H38" s="16"/>
      <c r="I38" s="16"/>
      <c r="L38" s="16"/>
      <c r="O38" s="16"/>
      <c r="R38" s="16"/>
    </row>
    <row r="39" spans="1:18" x14ac:dyDescent="0.25">
      <c r="A39" s="20">
        <f t="shared" ref="A39:A48" si="3">A38+1</f>
        <v>2025</v>
      </c>
      <c r="B39" s="21">
        <f t="shared" si="0"/>
        <v>2167720.0907864007</v>
      </c>
      <c r="C39" s="21">
        <f t="shared" si="1"/>
        <v>587367.40146631142</v>
      </c>
      <c r="D39" s="21">
        <f t="shared" si="2"/>
        <v>493012.97772687202</v>
      </c>
      <c r="E39" s="16"/>
      <c r="H39" s="16"/>
      <c r="I39" s="16"/>
      <c r="L39" s="16"/>
      <c r="O39" s="16"/>
      <c r="R39" s="16"/>
    </row>
    <row r="40" spans="1:18" x14ac:dyDescent="0.25">
      <c r="A40" s="20">
        <f t="shared" si="3"/>
        <v>2026</v>
      </c>
      <c r="B40" s="21">
        <f t="shared" si="0"/>
        <v>2200452.6641572751</v>
      </c>
      <c r="C40" s="21">
        <f t="shared" si="1"/>
        <v>596647.80640947924</v>
      </c>
      <c r="D40" s="21">
        <f t="shared" si="2"/>
        <v>509528.9124807223</v>
      </c>
      <c r="E40" s="16"/>
      <c r="H40" s="16"/>
      <c r="I40" s="16"/>
      <c r="L40" s="16"/>
      <c r="O40" s="16"/>
      <c r="R40" s="16"/>
    </row>
    <row r="41" spans="1:18" x14ac:dyDescent="0.25">
      <c r="A41" s="20">
        <f t="shared" si="3"/>
        <v>2027</v>
      </c>
      <c r="B41" s="21">
        <f t="shared" si="0"/>
        <v>2233679.4993860498</v>
      </c>
      <c r="C41" s="21">
        <f t="shared" si="1"/>
        <v>606074.84175074904</v>
      </c>
      <c r="D41" s="21">
        <f t="shared" si="2"/>
        <v>526598.13104882662</v>
      </c>
      <c r="E41" s="16"/>
      <c r="H41" s="16"/>
      <c r="I41" s="16"/>
      <c r="L41" s="16"/>
      <c r="O41" s="16"/>
      <c r="R41" s="16"/>
    </row>
    <row r="42" spans="1:18" x14ac:dyDescent="0.25">
      <c r="A42" s="20">
        <f t="shared" si="3"/>
        <v>2028</v>
      </c>
      <c r="B42" s="21">
        <f t="shared" si="0"/>
        <v>2267408.0598267787</v>
      </c>
      <c r="C42" s="21">
        <f t="shared" si="1"/>
        <v>615650.82425041089</v>
      </c>
      <c r="D42" s="21">
        <f t="shared" si="2"/>
        <v>544239.16843896231</v>
      </c>
      <c r="E42" s="16"/>
      <c r="H42" s="16"/>
      <c r="I42" s="16"/>
      <c r="L42" s="16"/>
      <c r="O42" s="16"/>
      <c r="R42" s="16"/>
    </row>
    <row r="43" spans="1:18" x14ac:dyDescent="0.25">
      <c r="A43" s="20">
        <f t="shared" si="3"/>
        <v>2029</v>
      </c>
      <c r="B43" s="21">
        <f t="shared" si="0"/>
        <v>2301645.9215301629</v>
      </c>
      <c r="C43" s="21">
        <f t="shared" si="1"/>
        <v>625378.10727356735</v>
      </c>
      <c r="D43" s="21">
        <f t="shared" si="2"/>
        <v>562471.18058166769</v>
      </c>
      <c r="E43" s="16"/>
      <c r="H43" s="16"/>
      <c r="I43" s="16"/>
      <c r="L43" s="16"/>
      <c r="O43" s="16"/>
      <c r="R43" s="16"/>
    </row>
    <row r="44" spans="1:18" x14ac:dyDescent="0.25">
      <c r="A44" s="20">
        <f t="shared" si="3"/>
        <v>2030</v>
      </c>
      <c r="B44" s="21">
        <f t="shared" si="0"/>
        <v>2336400.7749452684</v>
      </c>
      <c r="C44" s="21">
        <f t="shared" si="1"/>
        <v>635259.08136848977</v>
      </c>
      <c r="D44" s="21">
        <f t="shared" si="2"/>
        <v>581313.96513115359</v>
      </c>
      <c r="E44" s="16"/>
      <c r="H44" s="16"/>
      <c r="I44" s="16"/>
      <c r="L44" s="16"/>
      <c r="O44" s="16"/>
      <c r="R44" s="16"/>
    </row>
    <row r="45" spans="1:18" x14ac:dyDescent="0.25">
      <c r="A45" s="20">
        <f t="shared" si="3"/>
        <v>2031</v>
      </c>
      <c r="B45" s="21">
        <f t="shared" si="0"/>
        <v>2371680.4266469418</v>
      </c>
      <c r="C45" s="21">
        <f t="shared" si="1"/>
        <v>645296.17485411197</v>
      </c>
      <c r="D45" s="21">
        <f t="shared" si="2"/>
        <v>600787.98296304734</v>
      </c>
      <c r="E45" s="16"/>
      <c r="H45" s="16"/>
      <c r="I45" s="16"/>
      <c r="L45" s="16"/>
      <c r="O45" s="16"/>
      <c r="R45" s="16"/>
    </row>
    <row r="46" spans="1:18" x14ac:dyDescent="0.25">
      <c r="A46" s="20">
        <f t="shared" si="3"/>
        <v>2032</v>
      </c>
      <c r="B46" s="21">
        <f t="shared" si="0"/>
        <v>2407492.8010893101</v>
      </c>
      <c r="C46" s="21">
        <f t="shared" si="1"/>
        <v>655491.85441680695</v>
      </c>
      <c r="D46" s="21">
        <f t="shared" si="2"/>
        <v>620914.38039230939</v>
      </c>
      <c r="E46" s="16"/>
      <c r="H46" s="16"/>
      <c r="I46" s="16"/>
      <c r="L46" s="16"/>
      <c r="O46" s="16"/>
      <c r="R46" s="16"/>
    </row>
    <row r="47" spans="1:18" x14ac:dyDescent="0.25">
      <c r="A47" s="20">
        <f t="shared" si="3"/>
        <v>2033</v>
      </c>
      <c r="B47" s="21">
        <f t="shared" si="0"/>
        <v>2443845.9423857587</v>
      </c>
      <c r="C47" s="21">
        <f t="shared" si="1"/>
        <v>665848.62571659253</v>
      </c>
      <c r="D47" s="21">
        <f t="shared" si="2"/>
        <v>641715.01213545189</v>
      </c>
      <c r="E47" s="16"/>
      <c r="H47" s="16"/>
      <c r="I47" s="16"/>
      <c r="L47" s="16"/>
      <c r="O47" s="16"/>
      <c r="R47" s="16"/>
    </row>
    <row r="48" spans="1:18" x14ac:dyDescent="0.25">
      <c r="A48" s="20">
        <f t="shared" si="3"/>
        <v>2034</v>
      </c>
      <c r="B48" s="21">
        <f t="shared" si="0"/>
        <v>2480748.0161157832</v>
      </c>
      <c r="C48" s="21">
        <f t="shared" si="1"/>
        <v>676369.03400291468</v>
      </c>
      <c r="D48" s="21">
        <f t="shared" si="2"/>
        <v>663212.46504198969</v>
      </c>
      <c r="E48" s="16"/>
      <c r="H48" s="16"/>
      <c r="I48" s="16"/>
      <c r="L48" s="16"/>
      <c r="O48" s="16"/>
      <c r="R48" s="16"/>
    </row>
    <row r="49" spans="1:18" x14ac:dyDescent="0.25">
      <c r="A49" s="20">
        <f>A48+1</f>
        <v>2035</v>
      </c>
      <c r="B49" s="21">
        <f t="shared" si="0"/>
        <v>2518207.3111591316</v>
      </c>
      <c r="C49" s="21">
        <f t="shared" si="1"/>
        <v>687055.66474016081</v>
      </c>
      <c r="D49" s="21">
        <f t="shared" si="2"/>
        <v>685430.08262089652</v>
      </c>
      <c r="E49" s="16"/>
      <c r="H49" s="16"/>
      <c r="I49" s="16"/>
      <c r="L49" s="16"/>
      <c r="O49" s="16"/>
      <c r="R49" s="16"/>
    </row>
    <row r="50" spans="1:18" x14ac:dyDescent="0.25">
      <c r="A50" s="20">
        <f t="shared" ref="A50:A56" si="4">A49+1</f>
        <v>2036</v>
      </c>
      <c r="B50" s="21">
        <f t="shared" si="0"/>
        <v>2556232.2415576344</v>
      </c>
      <c r="C50" s="21">
        <f t="shared" si="1"/>
        <v>697911.14424305549</v>
      </c>
      <c r="D50" s="21">
        <f t="shared" si="2"/>
        <v>708391.99038869643</v>
      </c>
      <c r="E50" s="16"/>
      <c r="H50" s="16"/>
      <c r="I50" s="16"/>
      <c r="L50" s="16"/>
      <c r="O50" s="16"/>
      <c r="R50" s="16"/>
    </row>
    <row r="51" spans="1:18" x14ac:dyDescent="0.25">
      <c r="A51" s="20">
        <f t="shared" si="4"/>
        <v>2037</v>
      </c>
      <c r="B51" s="21">
        <f t="shared" si="0"/>
        <v>2594831.348405154</v>
      </c>
      <c r="C51" s="21">
        <f t="shared" si="1"/>
        <v>708938.14032209571</v>
      </c>
      <c r="D51" s="21">
        <f t="shared" si="2"/>
        <v>732123.12206671806</v>
      </c>
      <c r="E51" s="16"/>
      <c r="H51" s="16"/>
      <c r="I51" s="16"/>
      <c r="L51" s="16"/>
      <c r="O51" s="16"/>
      <c r="R51" s="16"/>
    </row>
    <row r="52" spans="1:18" x14ac:dyDescent="0.25">
      <c r="A52" s="20">
        <f t="shared" si="4"/>
        <v>2038</v>
      </c>
      <c r="B52" s="21">
        <f t="shared" si="0"/>
        <v>2634013.3017660719</v>
      </c>
      <c r="C52" s="21">
        <f t="shared" si="1"/>
        <v>720139.36293918488</v>
      </c>
      <c r="D52" s="21">
        <f t="shared" si="2"/>
        <v>756649.24665595312</v>
      </c>
      <c r="E52" s="16"/>
      <c r="H52" s="16"/>
      <c r="I52" s="16"/>
      <c r="L52" s="16"/>
      <c r="O52" s="16"/>
      <c r="R52" s="16"/>
    </row>
    <row r="53" spans="1:18" x14ac:dyDescent="0.25">
      <c r="A53" s="20">
        <f t="shared" si="4"/>
        <v>2039</v>
      </c>
      <c r="B53" s="21">
        <f t="shared" si="0"/>
        <v>2673786.9026227393</v>
      </c>
      <c r="C53" s="21">
        <f t="shared" si="1"/>
        <v>731517.56487362401</v>
      </c>
      <c r="D53" s="21">
        <f t="shared" si="2"/>
        <v>781996.99641892768</v>
      </c>
      <c r="E53" s="16"/>
      <c r="H53" s="16"/>
      <c r="I53" s="16"/>
      <c r="L53" s="16"/>
      <c r="O53" s="16"/>
      <c r="R53" s="16"/>
    </row>
    <row r="54" spans="1:18" x14ac:dyDescent="0.25">
      <c r="A54" s="20">
        <f t="shared" si="4"/>
        <v>2040</v>
      </c>
      <c r="B54" s="21">
        <f t="shared" si="0"/>
        <v>2714161.084852342</v>
      </c>
      <c r="C54" s="21">
        <f t="shared" si="1"/>
        <v>743075.54239862738</v>
      </c>
      <c r="D54" s="21">
        <f t="shared" si="2"/>
        <v>808193.89579896186</v>
      </c>
      <c r="E54" s="16"/>
      <c r="H54" s="16"/>
      <c r="I54" s="16"/>
      <c r="L54" s="16"/>
      <c r="O54" s="16"/>
      <c r="R54" s="16"/>
    </row>
    <row r="55" spans="1:18" x14ac:dyDescent="0.25">
      <c r="A55" s="20">
        <f t="shared" si="4"/>
        <v>2041</v>
      </c>
      <c r="B55" s="21">
        <f t="shared" si="0"/>
        <v>2755144.9172336124</v>
      </c>
      <c r="C55" s="21">
        <f t="shared" si="1"/>
        <v>754816.13596852566</v>
      </c>
      <c r="D55" s="21">
        <f t="shared" si="2"/>
        <v>835268.3913082272</v>
      </c>
      <c r="E55" s="16"/>
      <c r="H55" s="16"/>
      <c r="I55" s="16"/>
      <c r="L55" s="16"/>
      <c r="O55" s="16"/>
      <c r="R55" s="16"/>
    </row>
    <row r="56" spans="1:18" x14ac:dyDescent="0.25">
      <c r="A56" s="20">
        <f t="shared" si="4"/>
        <v>2042</v>
      </c>
      <c r="B56" s="21">
        <f t="shared" si="0"/>
        <v>2796747.6054838398</v>
      </c>
      <c r="C56" s="21">
        <f t="shared" si="1"/>
        <v>766742.23091682827</v>
      </c>
      <c r="D56" s="21">
        <f t="shared" si="2"/>
        <v>863249.8824170531</v>
      </c>
      <c r="E56" s="16"/>
      <c r="H56" s="16"/>
      <c r="I56" s="16"/>
      <c r="L56" s="16"/>
      <c r="O56" s="16"/>
      <c r="R56" s="16"/>
    </row>
    <row r="57" spans="1:18" x14ac:dyDescent="0.25">
      <c r="A57" s="20">
        <f>A56+1</f>
        <v>2043</v>
      </c>
      <c r="B57" s="21">
        <f t="shared" si="0"/>
        <v>2838978.4943266455</v>
      </c>
      <c r="C57" s="21">
        <f t="shared" si="1"/>
        <v>778856.75816531421</v>
      </c>
      <c r="D57" s="21">
        <f t="shared" si="2"/>
        <v>892168.75347802439</v>
      </c>
      <c r="E57" s="16"/>
      <c r="H57" s="16"/>
      <c r="I57" s="16"/>
      <c r="L57" s="16"/>
      <c r="O57" s="16"/>
      <c r="R57" s="16"/>
    </row>
    <row r="58" spans="1:18" x14ac:dyDescent="0.25">
      <c r="A58" s="20">
        <v>2044</v>
      </c>
      <c r="B58" s="21">
        <f t="shared" si="0"/>
        <v>2881847.0695909774</v>
      </c>
      <c r="C58" s="21">
        <f t="shared" si="1"/>
        <v>791162.69494432642</v>
      </c>
      <c r="D58" s="21">
        <f t="shared" si="2"/>
        <v>922056.40671953838</v>
      </c>
    </row>
    <row r="60" spans="1:18" x14ac:dyDescent="0.25">
      <c r="A60" s="147" t="s">
        <v>47</v>
      </c>
      <c r="B60" s="147"/>
      <c r="C60" s="147"/>
      <c r="D60" s="147"/>
      <c r="E60" s="147"/>
      <c r="F60" s="147"/>
      <c r="G60" s="147"/>
      <c r="H60" s="147"/>
    </row>
    <row r="61" spans="1:18" ht="30" x14ac:dyDescent="0.25">
      <c r="A61" s="22" t="s">
        <v>48</v>
      </c>
      <c r="B61" s="23" t="s">
        <v>49</v>
      </c>
      <c r="C61" s="24" t="s">
        <v>50</v>
      </c>
      <c r="D61" s="22" t="s">
        <v>51</v>
      </c>
      <c r="E61" s="25" t="s">
        <v>52</v>
      </c>
      <c r="F61" s="25" t="s">
        <v>53</v>
      </c>
      <c r="G61" s="26" t="s">
        <v>54</v>
      </c>
      <c r="H61" s="25" t="s">
        <v>55</v>
      </c>
      <c r="I61" s="27"/>
    </row>
    <row r="62" spans="1:18" x14ac:dyDescent="0.25">
      <c r="A62" s="20">
        <v>2024</v>
      </c>
      <c r="B62" s="21">
        <f t="shared" ref="B62:B82" si="5">B38+C38+D38</f>
        <v>3190738.1657116101</v>
      </c>
      <c r="C62" s="29">
        <f>C7</f>
        <v>0.79090909090909089</v>
      </c>
      <c r="D62" s="21">
        <f>((IF(A62&lt;= 2033,117,150))*B62*365*$C$17)/1000000</f>
        <v>109008.37869337146</v>
      </c>
      <c r="E62" s="21">
        <f>D62*C62</f>
        <v>86215.717693848332</v>
      </c>
      <c r="F62" s="30">
        <f>(D62*$C$24)/1000</f>
        <v>2112.1613898206224</v>
      </c>
      <c r="G62" s="31">
        <f>(D62*$C$26)/1000</f>
        <v>65566.126087578843</v>
      </c>
      <c r="H62" s="21">
        <f>(D62*$C$31)/1000</f>
        <v>22667.14644742012</v>
      </c>
      <c r="I62" s="32"/>
    </row>
    <row r="63" spans="1:18" x14ac:dyDescent="0.25">
      <c r="A63" s="20">
        <f>A62+1</f>
        <v>2025</v>
      </c>
      <c r="B63" s="21">
        <f t="shared" si="5"/>
        <v>3248100.4699795842</v>
      </c>
      <c r="C63" s="29">
        <f>MIN(C62+$C$6,$C$8)</f>
        <v>0.80909090909090908</v>
      </c>
      <c r="D63" s="21">
        <f t="shared" ref="D63:D82" si="6">((IF(A63&lt;= 2033,117,150))*B63*365*$C$17)/1000000</f>
        <v>110968.10445638253</v>
      </c>
      <c r="E63" s="21">
        <f t="shared" ref="E63:E82" si="7">D63*C63</f>
        <v>89783.284514709492</v>
      </c>
      <c r="F63" s="30">
        <f t="shared" ref="F63:F82" si="8">(D63*$C$24)/1000</f>
        <v>2150.1333066666843</v>
      </c>
      <c r="G63" s="31">
        <f t="shared" ref="G63:G82" si="9">(D63*$C$26)/1000</f>
        <v>66744.857741189568</v>
      </c>
      <c r="H63" s="21">
        <f t="shared" ref="H63:H82" si="10">(D63*$C$31)/1000</f>
        <v>23074.650819096965</v>
      </c>
      <c r="I63" s="32"/>
    </row>
    <row r="64" spans="1:18" x14ac:dyDescent="0.25">
      <c r="A64" s="20">
        <f t="shared" ref="A64:A73" si="11">A63+1</f>
        <v>2026</v>
      </c>
      <c r="B64" s="21">
        <f t="shared" si="5"/>
        <v>3306629.3830474764</v>
      </c>
      <c r="C64" s="29">
        <f>MIN(C63+$C$6,$C$8)</f>
        <v>0.82727272727272727</v>
      </c>
      <c r="D64" s="21">
        <f t="shared" si="6"/>
        <v>112967.68624243399</v>
      </c>
      <c r="E64" s="21">
        <f t="shared" si="7"/>
        <v>93455.085891468116</v>
      </c>
      <c r="F64" s="30">
        <f t="shared" si="8"/>
        <v>2188.8774793157113</v>
      </c>
      <c r="G64" s="31">
        <f t="shared" si="9"/>
        <v>67947.561910154953</v>
      </c>
      <c r="H64" s="21">
        <f t="shared" si="10"/>
        <v>23490.44283179643</v>
      </c>
      <c r="I64" s="32"/>
    </row>
    <row r="65" spans="1:9" x14ac:dyDescent="0.25">
      <c r="A65" s="20">
        <f t="shared" si="11"/>
        <v>2027</v>
      </c>
      <c r="B65" s="21">
        <f t="shared" si="5"/>
        <v>3366352.4721856252</v>
      </c>
      <c r="C65" s="29">
        <f t="shared" ref="C65:C82" si="12">MIN(C64+$C$6,$C$8)</f>
        <v>0.84545454545454546</v>
      </c>
      <c r="D65" s="21">
        <f t="shared" si="6"/>
        <v>115008.06585974971</v>
      </c>
      <c r="E65" s="21">
        <f t="shared" si="7"/>
        <v>97234.092045061116</v>
      </c>
      <c r="F65" s="30">
        <f t="shared" si="8"/>
        <v>2228.4121563738267</v>
      </c>
      <c r="G65" s="31">
        <f t="shared" si="9"/>
        <v>69174.805071267881</v>
      </c>
      <c r="H65" s="21">
        <f t="shared" si="10"/>
        <v>23914.718324638328</v>
      </c>
      <c r="I65" s="32"/>
    </row>
    <row r="66" spans="1:9" x14ac:dyDescent="0.25">
      <c r="A66" s="20">
        <f t="shared" si="11"/>
        <v>2028</v>
      </c>
      <c r="B66" s="21">
        <f t="shared" si="5"/>
        <v>3427298.0525161517</v>
      </c>
      <c r="C66" s="29">
        <f t="shared" si="12"/>
        <v>0.86363636363636365</v>
      </c>
      <c r="D66" s="21">
        <f t="shared" si="6"/>
        <v>117090.21066616182</v>
      </c>
      <c r="E66" s="21">
        <f t="shared" si="7"/>
        <v>101123.36375713976</v>
      </c>
      <c r="F66" s="30">
        <f t="shared" si="8"/>
        <v>2268.7560814998924</v>
      </c>
      <c r="G66" s="31">
        <f t="shared" si="9"/>
        <v>70427.169068844843</v>
      </c>
      <c r="H66" s="21">
        <f t="shared" si="10"/>
        <v>24347.678449514933</v>
      </c>
      <c r="I66" s="32"/>
    </row>
    <row r="67" spans="1:9" x14ac:dyDescent="0.25">
      <c r="A67" s="20">
        <f t="shared" si="11"/>
        <v>2029</v>
      </c>
      <c r="B67" s="21">
        <f t="shared" si="5"/>
        <v>3489495.2093853978</v>
      </c>
      <c r="C67" s="29">
        <f t="shared" si="12"/>
        <v>0.88181818181818183</v>
      </c>
      <c r="D67" s="21">
        <f t="shared" si="6"/>
        <v>119215.11433344273</v>
      </c>
      <c r="E67" s="21">
        <f t="shared" si="7"/>
        <v>105126.05536676313</v>
      </c>
      <c r="F67" s="30">
        <f t="shared" si="8"/>
        <v>2309.9285082153074</v>
      </c>
      <c r="G67" s="31">
        <f t="shared" si="9"/>
        <v>71705.251574454771</v>
      </c>
      <c r="H67" s="21">
        <f t="shared" si="10"/>
        <v>24789.529830025793</v>
      </c>
      <c r="I67" s="32"/>
    </row>
    <row r="68" spans="1:9" x14ac:dyDescent="0.25">
      <c r="A68" s="20">
        <f t="shared" si="11"/>
        <v>2030</v>
      </c>
      <c r="B68" s="21">
        <f t="shared" si="5"/>
        <v>3552973.8214449119</v>
      </c>
      <c r="C68" s="29">
        <f t="shared" si="12"/>
        <v>0.9</v>
      </c>
      <c r="D68" s="21">
        <f t="shared" si="6"/>
        <v>121383.79763584398</v>
      </c>
      <c r="E68" s="21">
        <f t="shared" si="7"/>
        <v>109245.41787225958</v>
      </c>
      <c r="F68" s="30">
        <f t="shared" si="8"/>
        <v>2351.9492151828449</v>
      </c>
      <c r="G68" s="31">
        <f t="shared" si="9"/>
        <v>73009.666561207632</v>
      </c>
      <c r="H68" s="21">
        <f t="shared" si="10"/>
        <v>25240.484725446076</v>
      </c>
      <c r="I68" s="32"/>
    </row>
    <row r="69" spans="1:9" x14ac:dyDescent="0.25">
      <c r="A69" s="20">
        <f t="shared" si="11"/>
        <v>2031</v>
      </c>
      <c r="B69" s="21">
        <f t="shared" si="5"/>
        <v>3617764.5844641011</v>
      </c>
      <c r="C69" s="29">
        <f t="shared" si="12"/>
        <v>0.91818181818181821</v>
      </c>
      <c r="D69" s="21">
        <f t="shared" si="6"/>
        <v>123597.30926363154</v>
      </c>
      <c r="E69" s="21">
        <f t="shared" si="7"/>
        <v>113484.80214206169</v>
      </c>
      <c r="F69" s="30">
        <f t="shared" si="8"/>
        <v>2394.8385219698307</v>
      </c>
      <c r="G69" s="31">
        <f t="shared" si="9"/>
        <v>74341.04479307805</v>
      </c>
      <c r="H69" s="21">
        <f t="shared" si="10"/>
        <v>25700.761199892702</v>
      </c>
      <c r="I69" s="32"/>
    </row>
    <row r="70" spans="1:9" x14ac:dyDescent="0.25">
      <c r="A70" s="20">
        <f t="shared" si="11"/>
        <v>2032</v>
      </c>
      <c r="B70" s="21">
        <f t="shared" si="5"/>
        <v>3683899.0358984265</v>
      </c>
      <c r="C70" s="29">
        <f t="shared" si="12"/>
        <v>0.9363636363636364</v>
      </c>
      <c r="D70" s="21">
        <f t="shared" si="6"/>
        <v>125856.72666243384</v>
      </c>
      <c r="E70" s="21">
        <f t="shared" si="7"/>
        <v>117847.66223846078</v>
      </c>
      <c r="F70" s="30">
        <f t="shared" si="8"/>
        <v>2438.6173053114576</v>
      </c>
      <c r="G70" s="31">
        <f t="shared" si="9"/>
        <v>75700.034329754373</v>
      </c>
      <c r="H70" s="21">
        <f t="shared" si="10"/>
        <v>26170.583296857942</v>
      </c>
      <c r="I70" s="32"/>
    </row>
    <row r="71" spans="1:9" x14ac:dyDescent="0.25">
      <c r="A71" s="20">
        <f t="shared" si="11"/>
        <v>2033</v>
      </c>
      <c r="B71" s="21">
        <f t="shared" si="5"/>
        <v>3751409.580237803</v>
      </c>
      <c r="C71" s="29">
        <f t="shared" si="12"/>
        <v>0.95454545454545459</v>
      </c>
      <c r="D71" s="21">
        <f t="shared" si="6"/>
        <v>128163.15689924432</v>
      </c>
      <c r="E71" s="21">
        <f t="shared" si="7"/>
        <v>122337.55885836958</v>
      </c>
      <c r="F71" s="30">
        <f t="shared" si="8"/>
        <v>2483.3070158905784</v>
      </c>
      <c r="G71" s="31">
        <f t="shared" si="9"/>
        <v>77087.30104752013</v>
      </c>
      <c r="H71" s="21">
        <f t="shared" si="10"/>
        <v>26650.181219285532</v>
      </c>
      <c r="I71" s="32"/>
    </row>
    <row r="72" spans="1:9" x14ac:dyDescent="0.25">
      <c r="A72" s="20">
        <f t="shared" si="11"/>
        <v>2034</v>
      </c>
      <c r="B72" s="21">
        <f t="shared" si="5"/>
        <v>3820329.5151606873</v>
      </c>
      <c r="C72" s="29">
        <f t="shared" si="12"/>
        <v>0.97272727272727277</v>
      </c>
      <c r="D72" s="21">
        <f t="shared" si="6"/>
        <v>167330.43276403809</v>
      </c>
      <c r="E72" s="21">
        <f t="shared" si="7"/>
        <v>162766.87550683707</v>
      </c>
      <c r="F72" s="30">
        <f t="shared" si="8"/>
        <v>3242.2175585267014</v>
      </c>
      <c r="G72" s="31">
        <f t="shared" si="9"/>
        <v>100645.55022652759</v>
      </c>
      <c r="H72" s="21">
        <f t="shared" si="10"/>
        <v>34794.604506885255</v>
      </c>
      <c r="I72" s="32"/>
    </row>
    <row r="73" spans="1:9" x14ac:dyDescent="0.25">
      <c r="A73" s="20">
        <f t="shared" si="11"/>
        <v>2035</v>
      </c>
      <c r="B73" s="21">
        <f t="shared" si="5"/>
        <v>3890693.0585201886</v>
      </c>
      <c r="C73" s="29">
        <f t="shared" si="12"/>
        <v>0.99090909090909096</v>
      </c>
      <c r="D73" s="21">
        <f t="shared" si="6"/>
        <v>170412.35596318427</v>
      </c>
      <c r="E73" s="21">
        <f t="shared" si="7"/>
        <v>168863.15272715534</v>
      </c>
      <c r="F73" s="30">
        <f t="shared" si="8"/>
        <v>3301.9333277699038</v>
      </c>
      <c r="G73" s="31">
        <f t="shared" si="9"/>
        <v>102499.2587899386</v>
      </c>
      <c r="H73" s="21">
        <f t="shared" si="10"/>
        <v>35435.458038807345</v>
      </c>
      <c r="I73" s="32"/>
    </row>
    <row r="74" spans="1:9" x14ac:dyDescent="0.25">
      <c r="A74" s="20">
        <f>A73+1</f>
        <v>2036</v>
      </c>
      <c r="B74" s="21">
        <f t="shared" si="5"/>
        <v>3962535.3761893865</v>
      </c>
      <c r="C74" s="29">
        <f t="shared" si="12"/>
        <v>1</v>
      </c>
      <c r="D74" s="21">
        <f t="shared" si="6"/>
        <v>173559.04947709516</v>
      </c>
      <c r="E74" s="21">
        <f t="shared" si="7"/>
        <v>173559.04947709516</v>
      </c>
      <c r="F74" s="30">
        <f t="shared" si="8"/>
        <v>3362.9040955709456</v>
      </c>
      <c r="G74" s="31">
        <f t="shared" si="9"/>
        <v>104391.92526351668</v>
      </c>
      <c r="H74" s="21">
        <f t="shared" si="10"/>
        <v>36089.779876815774</v>
      </c>
      <c r="I74" s="32"/>
    </row>
    <row r="75" spans="1:9" x14ac:dyDescent="0.25">
      <c r="A75" s="20">
        <f t="shared" ref="A75:A81" si="13">A74+1</f>
        <v>2037</v>
      </c>
      <c r="B75" s="21">
        <f t="shared" si="5"/>
        <v>4035892.6107939677</v>
      </c>
      <c r="C75" s="29">
        <f t="shared" si="12"/>
        <v>1</v>
      </c>
      <c r="D75" s="21">
        <f t="shared" si="6"/>
        <v>176772.09635277581</v>
      </c>
      <c r="E75" s="21">
        <f t="shared" si="7"/>
        <v>176772.09635277581</v>
      </c>
      <c r="F75" s="30">
        <f t="shared" si="8"/>
        <v>3425.1605352670726</v>
      </c>
      <c r="G75" s="31">
        <f t="shared" si="9"/>
        <v>106324.50181498309</v>
      </c>
      <c r="H75" s="21">
        <f t="shared" si="10"/>
        <v>36757.899198894156</v>
      </c>
      <c r="I75" s="32"/>
    </row>
    <row r="76" spans="1:9" x14ac:dyDescent="0.25">
      <c r="A76" s="20">
        <f t="shared" si="13"/>
        <v>2038</v>
      </c>
      <c r="B76" s="21">
        <f t="shared" si="5"/>
        <v>4110801.91136121</v>
      </c>
      <c r="C76" s="29">
        <f t="shared" si="12"/>
        <v>1</v>
      </c>
      <c r="D76" s="21">
        <f t="shared" si="6"/>
        <v>180053.12371762103</v>
      </c>
      <c r="E76" s="21">
        <f t="shared" si="7"/>
        <v>180053.12371762103</v>
      </c>
      <c r="F76" s="30">
        <f t="shared" si="8"/>
        <v>3488.7341743032466</v>
      </c>
      <c r="G76" s="31">
        <f t="shared" si="9"/>
        <v>108297.96712543741</v>
      </c>
      <c r="H76" s="21">
        <f t="shared" si="10"/>
        <v>37440.154349079792</v>
      </c>
      <c r="I76" s="32"/>
    </row>
    <row r="77" spans="1:9" x14ac:dyDescent="0.25">
      <c r="A77" s="20">
        <f t="shared" si="13"/>
        <v>2039</v>
      </c>
      <c r="B77" s="21">
        <f t="shared" si="5"/>
        <v>4187301.4639152912</v>
      </c>
      <c r="C77" s="29">
        <f t="shared" si="12"/>
        <v>1</v>
      </c>
      <c r="D77" s="21">
        <f t="shared" si="6"/>
        <v>183403.80411948977</v>
      </c>
      <c r="E77" s="21">
        <f t="shared" si="7"/>
        <v>183403.80411948977</v>
      </c>
      <c r="F77" s="30">
        <f t="shared" si="8"/>
        <v>3553.6574201976114</v>
      </c>
      <c r="G77" s="31">
        <f t="shared" si="9"/>
        <v>110313.32719538279</v>
      </c>
      <c r="H77" s="21">
        <f t="shared" si="10"/>
        <v>38136.893116118052</v>
      </c>
      <c r="I77" s="32"/>
    </row>
    <row r="78" spans="1:9" x14ac:dyDescent="0.25">
      <c r="A78" s="20">
        <f t="shared" si="13"/>
        <v>2040</v>
      </c>
      <c r="B78" s="21">
        <f t="shared" si="5"/>
        <v>4265430.523049931</v>
      </c>
      <c r="C78" s="29">
        <f t="shared" si="12"/>
        <v>1</v>
      </c>
      <c r="D78" s="21">
        <f t="shared" si="6"/>
        <v>186825.85690958696</v>
      </c>
      <c r="E78" s="21">
        <f t="shared" si="7"/>
        <v>186825.85690958696</v>
      </c>
      <c r="F78" s="30">
        <f t="shared" si="8"/>
        <v>3619.9635873364014</v>
      </c>
      <c r="G78" s="31">
        <f t="shared" si="9"/>
        <v>112371.61617649857</v>
      </c>
      <c r="H78" s="21">
        <f t="shared" si="10"/>
        <v>38848.473021018079</v>
      </c>
      <c r="I78" s="32"/>
    </row>
    <row r="79" spans="1:9" x14ac:dyDescent="0.25">
      <c r="A79" s="20">
        <f t="shared" si="13"/>
        <v>2041</v>
      </c>
      <c r="B79" s="21">
        <f t="shared" si="5"/>
        <v>4345229.4445103658</v>
      </c>
      <c r="C79" s="29">
        <f t="shared" si="12"/>
        <v>1</v>
      </c>
      <c r="D79" s="21">
        <f t="shared" si="6"/>
        <v>190321.04966955405</v>
      </c>
      <c r="E79" s="21">
        <f t="shared" si="7"/>
        <v>190321.04966955405</v>
      </c>
      <c r="F79" s="30">
        <f t="shared" si="8"/>
        <v>3687.686924625446</v>
      </c>
      <c r="G79" s="31">
        <f t="shared" si="9"/>
        <v>114473.89723000377</v>
      </c>
      <c r="H79" s="21">
        <f t="shared" si="10"/>
        <v>39575.261613801311</v>
      </c>
      <c r="I79" s="32"/>
    </row>
    <row r="80" spans="1:9" x14ac:dyDescent="0.25">
      <c r="A80" s="20">
        <f t="shared" si="13"/>
        <v>2042</v>
      </c>
      <c r="B80" s="21">
        <f t="shared" si="5"/>
        <v>4426739.7188177211</v>
      </c>
      <c r="C80" s="29">
        <f t="shared" si="12"/>
        <v>1</v>
      </c>
      <c r="D80" s="21">
        <f t="shared" si="6"/>
        <v>193891.19968421618</v>
      </c>
      <c r="E80" s="21">
        <f t="shared" si="7"/>
        <v>193891.19968421618</v>
      </c>
      <c r="F80" s="30">
        <f t="shared" si="8"/>
        <v>3756.8626440263201</v>
      </c>
      <c r="G80" s="31">
        <f t="shared" si="9"/>
        <v>116621.26341248184</v>
      </c>
      <c r="H80" s="21">
        <f t="shared" si="10"/>
        <v>40317.636779743734</v>
      </c>
      <c r="I80" s="32"/>
    </row>
    <row r="81" spans="1:9" x14ac:dyDescent="0.25">
      <c r="A81" s="20">
        <f t="shared" si="13"/>
        <v>2043</v>
      </c>
      <c r="B81" s="21">
        <f t="shared" si="5"/>
        <v>4510004.0059699845</v>
      </c>
      <c r="C81" s="29">
        <f t="shared" si="12"/>
        <v>1</v>
      </c>
      <c r="D81" s="21">
        <f t="shared" si="6"/>
        <v>197538.17546148534</v>
      </c>
      <c r="E81" s="21">
        <f t="shared" si="7"/>
        <v>197538.17546148534</v>
      </c>
      <c r="F81" s="30">
        <f t="shared" si="8"/>
        <v>3827.5269500061995</v>
      </c>
      <c r="G81" s="31">
        <f t="shared" si="9"/>
        <v>118814.83859006879</v>
      </c>
      <c r="H81" s="21">
        <f t="shared" si="10"/>
        <v>41075.987055423779</v>
      </c>
      <c r="I81" s="32"/>
    </row>
    <row r="82" spans="1:9" x14ac:dyDescent="0.25">
      <c r="A82" s="20">
        <f>A81+1</f>
        <v>2044</v>
      </c>
      <c r="B82" s="21">
        <f t="shared" si="5"/>
        <v>4595066.1712548416</v>
      </c>
      <c r="C82" s="29">
        <f t="shared" si="12"/>
        <v>1</v>
      </c>
      <c r="D82" s="21">
        <f t="shared" si="6"/>
        <v>201263.89830096206</v>
      </c>
      <c r="E82" s="21">
        <f t="shared" si="7"/>
        <v>201263.89830096206</v>
      </c>
      <c r="F82" s="30">
        <f t="shared" si="8"/>
        <v>3899.7170699313028</v>
      </c>
      <c r="G82" s="31">
        <f t="shared" si="9"/>
        <v>121055.77838193229</v>
      </c>
      <c r="H82" s="21">
        <f t="shared" si="10"/>
        <v>41850.7119548966</v>
      </c>
      <c r="I82" s="32"/>
    </row>
    <row r="83" spans="1:9" x14ac:dyDescent="0.25">
      <c r="B83" s="16"/>
      <c r="C83" s="33"/>
      <c r="D83" s="16"/>
      <c r="E83" s="16"/>
      <c r="F83" s="32"/>
      <c r="G83" s="32"/>
      <c r="H83" s="16"/>
      <c r="I83" s="32"/>
    </row>
    <row r="84" spans="1:9" x14ac:dyDescent="0.25">
      <c r="B84" s="16"/>
      <c r="C84" s="33"/>
      <c r="D84" s="16"/>
      <c r="E84" s="16"/>
      <c r="F84" s="32"/>
      <c r="G84" s="32"/>
      <c r="H84" s="16"/>
      <c r="I84" s="32"/>
    </row>
    <row r="85" spans="1:9" ht="23.25" x14ac:dyDescent="0.35">
      <c r="A85" s="34" t="s">
        <v>56</v>
      </c>
      <c r="B85" s="35"/>
      <c r="C85" s="36"/>
      <c r="D85" s="37"/>
      <c r="E85" s="37"/>
      <c r="F85" s="32"/>
      <c r="G85" s="32"/>
      <c r="H85" s="16"/>
      <c r="I85" s="32"/>
    </row>
    <row r="86" spans="1:9" x14ac:dyDescent="0.25">
      <c r="B86" s="16"/>
      <c r="C86" s="33"/>
      <c r="D86" s="16"/>
      <c r="E86" s="16"/>
      <c r="F86" s="32"/>
      <c r="G86" s="32"/>
      <c r="H86" s="16"/>
      <c r="I86" s="32"/>
    </row>
    <row r="87" spans="1:9" x14ac:dyDescent="0.25">
      <c r="A87" s="38" t="s">
        <v>57</v>
      </c>
      <c r="B87" s="39"/>
      <c r="C87" s="40"/>
      <c r="D87" s="39"/>
      <c r="E87" s="39"/>
      <c r="F87" s="39"/>
      <c r="G87" s="39"/>
      <c r="H87" s="39"/>
      <c r="I87" s="41"/>
    </row>
    <row r="88" spans="1:9" x14ac:dyDescent="0.25">
      <c r="A88" s="42" t="s">
        <v>58</v>
      </c>
      <c r="B88" s="43"/>
      <c r="C88" s="43"/>
      <c r="D88" s="43"/>
      <c r="E88" s="43"/>
      <c r="F88" s="43"/>
      <c r="G88" s="43"/>
      <c r="H88" s="43"/>
      <c r="I88" s="44"/>
    </row>
    <row r="89" spans="1:9" x14ac:dyDescent="0.25">
      <c r="A89" s="42" t="s">
        <v>59</v>
      </c>
      <c r="B89" s="43"/>
      <c r="C89" s="43"/>
      <c r="D89" s="43"/>
      <c r="E89" s="43"/>
      <c r="F89" s="43"/>
      <c r="G89" s="43"/>
      <c r="H89" s="43"/>
      <c r="I89" s="44"/>
    </row>
    <row r="90" spans="1:9" x14ac:dyDescent="0.25">
      <c r="A90" s="42" t="s">
        <v>60</v>
      </c>
      <c r="B90" s="43"/>
      <c r="C90" s="43"/>
      <c r="D90" s="43"/>
      <c r="E90" s="43"/>
      <c r="F90" s="43"/>
      <c r="G90" s="43"/>
      <c r="H90" s="43"/>
      <c r="I90" s="44"/>
    </row>
    <row r="91" spans="1:9" x14ac:dyDescent="0.25">
      <c r="A91" s="42" t="s">
        <v>61</v>
      </c>
      <c r="B91" s="43"/>
      <c r="C91" s="43"/>
      <c r="D91" s="43"/>
      <c r="E91" s="43"/>
      <c r="F91" s="43"/>
      <c r="G91" s="43"/>
      <c r="H91" s="43"/>
      <c r="I91" s="44"/>
    </row>
    <row r="92" spans="1:9" x14ac:dyDescent="0.25">
      <c r="A92" s="42" t="s">
        <v>62</v>
      </c>
      <c r="B92" s="43"/>
      <c r="C92" s="43"/>
      <c r="D92" s="43"/>
      <c r="E92" s="43"/>
      <c r="F92" s="43"/>
      <c r="G92" s="43"/>
      <c r="H92" s="43"/>
      <c r="I92" s="44"/>
    </row>
    <row r="93" spans="1:9" x14ac:dyDescent="0.25">
      <c r="A93" s="42" t="s">
        <v>63</v>
      </c>
      <c r="B93" s="43"/>
      <c r="C93" s="43"/>
      <c r="D93" s="43"/>
      <c r="E93" s="43"/>
      <c r="F93" s="43"/>
      <c r="G93" s="43"/>
      <c r="H93" s="43"/>
      <c r="I93" s="44"/>
    </row>
    <row r="94" spans="1:9" x14ac:dyDescent="0.25">
      <c r="A94" s="42" t="s">
        <v>64</v>
      </c>
      <c r="B94" s="43"/>
      <c r="C94" s="43"/>
      <c r="D94" s="43"/>
      <c r="E94" s="43"/>
      <c r="F94" s="43"/>
      <c r="G94" s="43"/>
      <c r="H94" s="43"/>
      <c r="I94" s="44"/>
    </row>
    <row r="95" spans="1:9" x14ac:dyDescent="0.25">
      <c r="A95" s="42" t="s">
        <v>65</v>
      </c>
      <c r="B95" s="43"/>
      <c r="C95" s="43"/>
      <c r="D95" s="43"/>
      <c r="E95" s="43"/>
      <c r="F95" s="43"/>
      <c r="G95" s="43"/>
      <c r="H95" s="43"/>
      <c r="I95" s="44"/>
    </row>
    <row r="96" spans="1:9" x14ac:dyDescent="0.25">
      <c r="A96" s="42" t="s">
        <v>66</v>
      </c>
      <c r="B96" s="43"/>
      <c r="C96" s="43"/>
      <c r="D96" s="43"/>
      <c r="E96" s="43"/>
      <c r="F96" s="43"/>
      <c r="G96" s="43"/>
      <c r="H96" s="43"/>
      <c r="I96" s="44"/>
    </row>
    <row r="97" spans="1:9" x14ac:dyDescent="0.25">
      <c r="A97" s="42" t="s">
        <v>67</v>
      </c>
      <c r="B97" s="43"/>
      <c r="C97" s="43"/>
      <c r="D97" s="43"/>
      <c r="E97" s="43"/>
      <c r="F97" s="43"/>
      <c r="G97" s="43"/>
      <c r="H97" s="43"/>
      <c r="I97" s="44"/>
    </row>
    <row r="98" spans="1:9" x14ac:dyDescent="0.25">
      <c r="A98" s="42" t="s">
        <v>68</v>
      </c>
      <c r="B98" s="43"/>
      <c r="C98" s="43"/>
      <c r="D98" s="43"/>
      <c r="E98" s="43"/>
      <c r="F98" s="43"/>
      <c r="G98" s="43"/>
      <c r="H98" s="43"/>
      <c r="I98" s="44"/>
    </row>
    <row r="99" spans="1:9" x14ac:dyDescent="0.25">
      <c r="A99" s="42" t="s">
        <v>269</v>
      </c>
      <c r="B99" s="43"/>
      <c r="C99" s="43"/>
      <c r="D99" s="43"/>
      <c r="E99" s="43"/>
      <c r="F99" s="43"/>
      <c r="G99" s="43"/>
      <c r="H99" s="43"/>
      <c r="I99" s="44"/>
    </row>
    <row r="100" spans="1:9" x14ac:dyDescent="0.25">
      <c r="A100" s="42" t="s">
        <v>69</v>
      </c>
      <c r="B100" s="43"/>
      <c r="C100" s="43"/>
      <c r="D100" s="43"/>
      <c r="E100" s="43"/>
      <c r="F100" s="43"/>
      <c r="G100" s="43"/>
      <c r="H100" s="43"/>
      <c r="I100" s="44"/>
    </row>
    <row r="101" spans="1:9" x14ac:dyDescent="0.25">
      <c r="A101" s="42" t="s">
        <v>70</v>
      </c>
      <c r="B101" s="43"/>
      <c r="C101" s="43"/>
      <c r="D101" s="43"/>
      <c r="E101" s="43"/>
      <c r="F101" s="43"/>
      <c r="G101" s="43"/>
      <c r="H101" s="43"/>
      <c r="I101" s="44"/>
    </row>
    <row r="102" spans="1:9" x14ac:dyDescent="0.25">
      <c r="A102" s="42" t="s">
        <v>71</v>
      </c>
      <c r="B102" s="43"/>
      <c r="C102" s="43"/>
      <c r="D102" s="43"/>
      <c r="E102" s="43"/>
      <c r="F102" s="43"/>
      <c r="G102" s="43"/>
      <c r="H102" s="43"/>
      <c r="I102" s="44"/>
    </row>
    <row r="103" spans="1:9" x14ac:dyDescent="0.25">
      <c r="A103" s="45" t="s">
        <v>72</v>
      </c>
      <c r="B103" s="46"/>
      <c r="C103" s="46"/>
      <c r="D103" s="46"/>
      <c r="E103" s="46"/>
      <c r="F103" s="46"/>
      <c r="G103" s="46"/>
      <c r="H103" s="46"/>
      <c r="I103" s="47"/>
    </row>
    <row r="104" spans="1:9" x14ac:dyDescent="0.25">
      <c r="A104" s="48"/>
      <c r="B104" s="49"/>
    </row>
    <row r="105" spans="1:9" x14ac:dyDescent="0.25">
      <c r="A105" s="20" t="s">
        <v>73</v>
      </c>
      <c r="B105" s="50">
        <v>80</v>
      </c>
      <c r="C105" t="s">
        <v>74</v>
      </c>
    </row>
    <row r="106" spans="1:9" x14ac:dyDescent="0.25">
      <c r="A106" s="20" t="s">
        <v>75</v>
      </c>
      <c r="B106" s="51">
        <v>0.03</v>
      </c>
    </row>
    <row r="107" spans="1:9" x14ac:dyDescent="0.25">
      <c r="A107" s="20" t="s">
        <v>76</v>
      </c>
      <c r="B107" s="51">
        <v>0.05</v>
      </c>
    </row>
    <row r="108" spans="1:9" x14ac:dyDescent="0.25">
      <c r="A108" s="20" t="s">
        <v>77</v>
      </c>
      <c r="B108" s="21">
        <f>(1)*154</f>
        <v>154</v>
      </c>
      <c r="C108" t="s">
        <v>78</v>
      </c>
    </row>
    <row r="109" spans="1:9" x14ac:dyDescent="0.25">
      <c r="A109" s="20" t="s">
        <v>79</v>
      </c>
      <c r="B109" s="21">
        <f>(1)*27</f>
        <v>27</v>
      </c>
      <c r="C109" t="s">
        <v>78</v>
      </c>
    </row>
    <row r="110" spans="1:9" x14ac:dyDescent="0.25">
      <c r="A110" s="20" t="s">
        <v>80</v>
      </c>
      <c r="B110" s="51">
        <v>7.0000000000000007E-2</v>
      </c>
    </row>
    <row r="111" spans="1:9" x14ac:dyDescent="0.25">
      <c r="A111" s="20" t="s">
        <v>81</v>
      </c>
      <c r="B111" s="21">
        <v>10</v>
      </c>
      <c r="C111" t="s">
        <v>82</v>
      </c>
    </row>
    <row r="112" spans="1:9" x14ac:dyDescent="0.25">
      <c r="A112" s="20" t="s">
        <v>83</v>
      </c>
      <c r="B112" s="52">
        <v>6.6699999999999995E-2</v>
      </c>
    </row>
    <row r="114" spans="1:6" ht="17.25" x14ac:dyDescent="0.3">
      <c r="A114" s="53" t="s">
        <v>84</v>
      </c>
    </row>
    <row r="115" spans="1:6" x14ac:dyDescent="0.25">
      <c r="A115" s="54" t="s">
        <v>85</v>
      </c>
      <c r="B115" s="54" t="s">
        <v>86</v>
      </c>
      <c r="C115" s="20"/>
    </row>
    <row r="116" spans="1:6" ht="38.25" x14ac:dyDescent="0.25">
      <c r="A116" s="55" t="s">
        <v>87</v>
      </c>
      <c r="B116" s="56" t="s">
        <v>88</v>
      </c>
      <c r="C116" s="54" t="s">
        <v>89</v>
      </c>
    </row>
    <row r="117" spans="1:6" ht="24.75" customHeight="1" x14ac:dyDescent="0.25">
      <c r="A117" s="55" t="s">
        <v>90</v>
      </c>
      <c r="B117" s="57">
        <v>5.3199999999999997E-2</v>
      </c>
      <c r="C117" s="54"/>
    </row>
    <row r="118" spans="1:6" x14ac:dyDescent="0.25">
      <c r="A118" s="55" t="s">
        <v>91</v>
      </c>
      <c r="B118" s="145">
        <f>B112</f>
        <v>6.6699999999999995E-2</v>
      </c>
      <c r="C118" s="20"/>
    </row>
    <row r="122" spans="1:6" ht="15.75" x14ac:dyDescent="0.25">
      <c r="A122" s="58" t="s">
        <v>92</v>
      </c>
      <c r="B122" s="58"/>
    </row>
    <row r="123" spans="1:6" ht="25.5" x14ac:dyDescent="0.25">
      <c r="A123" s="55" t="s">
        <v>93</v>
      </c>
      <c r="B123" s="55"/>
      <c r="C123" s="55" t="s">
        <v>94</v>
      </c>
      <c r="D123" s="55" t="s">
        <v>95</v>
      </c>
      <c r="E123" s="59" t="s">
        <v>96</v>
      </c>
    </row>
    <row r="124" spans="1:6" ht="24.75" customHeight="1" x14ac:dyDescent="0.25">
      <c r="A124" s="55" t="s">
        <v>97</v>
      </c>
      <c r="B124" s="55"/>
      <c r="C124" s="60"/>
      <c r="D124" s="60"/>
      <c r="E124" s="61">
        <f>SUM(D125:D131)</f>
        <v>46907753.550848238</v>
      </c>
      <c r="F124" s="62"/>
    </row>
    <row r="125" spans="1:6" x14ac:dyDescent="0.25">
      <c r="A125" s="55" t="s">
        <v>98</v>
      </c>
      <c r="B125" s="55"/>
      <c r="C125" s="63">
        <v>17600000</v>
      </c>
      <c r="D125" s="64">
        <f>C125*((1+(5.32/100))^6)</f>
        <v>24020263.67456878</v>
      </c>
      <c r="E125" s="65"/>
      <c r="F125" s="62"/>
    </row>
    <row r="126" spans="1:6" ht="28.5" customHeight="1" x14ac:dyDescent="0.25">
      <c r="A126" s="55" t="s">
        <v>99</v>
      </c>
      <c r="B126" s="55"/>
      <c r="C126" s="63">
        <v>1500000</v>
      </c>
      <c r="D126" s="64">
        <f t="shared" ref="D126:D131" si="14">C126*((1+(5.32/100))^6)</f>
        <v>2047181.5631734754</v>
      </c>
      <c r="E126" s="65"/>
      <c r="F126" s="62"/>
    </row>
    <row r="127" spans="1:6" x14ac:dyDescent="0.25">
      <c r="A127" s="55" t="s">
        <v>100</v>
      </c>
      <c r="B127" s="55"/>
      <c r="C127" s="63">
        <v>1200000</v>
      </c>
      <c r="D127" s="64">
        <f t="shared" si="14"/>
        <v>1637745.2505387804</v>
      </c>
      <c r="E127" s="65"/>
      <c r="F127" s="62"/>
    </row>
    <row r="128" spans="1:6" ht="27" customHeight="1" x14ac:dyDescent="0.25">
      <c r="A128" s="55" t="s">
        <v>101</v>
      </c>
      <c r="B128" s="55"/>
      <c r="C128" s="63">
        <v>2000000</v>
      </c>
      <c r="D128" s="64">
        <f t="shared" si="14"/>
        <v>2729575.4175646342</v>
      </c>
      <c r="E128" s="65"/>
      <c r="F128" s="62"/>
    </row>
    <row r="129" spans="1:6" ht="25.5" x14ac:dyDescent="0.25">
      <c r="A129" s="55" t="s">
        <v>102</v>
      </c>
      <c r="B129" s="55"/>
      <c r="C129" s="63">
        <v>4570000</v>
      </c>
      <c r="D129" s="64">
        <f t="shared" si="14"/>
        <v>6237079.8291351888</v>
      </c>
      <c r="E129" s="65"/>
      <c r="F129" s="62"/>
    </row>
    <row r="130" spans="1:6" x14ac:dyDescent="0.25">
      <c r="A130" s="55" t="s">
        <v>103</v>
      </c>
      <c r="B130" s="55"/>
      <c r="C130" s="63">
        <v>3500000</v>
      </c>
      <c r="D130" s="64">
        <f t="shared" si="14"/>
        <v>4776756.9807381099</v>
      </c>
      <c r="E130" s="65"/>
      <c r="F130" s="62"/>
    </row>
    <row r="131" spans="1:6" x14ac:dyDescent="0.25">
      <c r="A131" s="55" t="s">
        <v>104</v>
      </c>
      <c r="B131" s="55"/>
      <c r="C131" s="63">
        <v>4000000</v>
      </c>
      <c r="D131" s="64">
        <f t="shared" si="14"/>
        <v>5459150.8351292685</v>
      </c>
      <c r="E131" s="65"/>
      <c r="F131" s="62"/>
    </row>
    <row r="132" spans="1:6" ht="25.5" customHeight="1" x14ac:dyDescent="0.25">
      <c r="A132" s="55" t="s">
        <v>105</v>
      </c>
      <c r="B132" s="55"/>
      <c r="C132" s="60"/>
      <c r="D132" s="64"/>
      <c r="E132" s="61">
        <f>SUM(D133:D145)</f>
        <v>137346183.93894008</v>
      </c>
      <c r="F132" s="62"/>
    </row>
    <row r="133" spans="1:6" x14ac:dyDescent="0.25">
      <c r="A133" s="55" t="s">
        <v>106</v>
      </c>
      <c r="B133" s="55"/>
      <c r="C133" s="63">
        <v>1920000</v>
      </c>
      <c r="D133" s="64">
        <f>C133*((1+(5.32/100))^6)</f>
        <v>2620392.4008620488</v>
      </c>
      <c r="E133" s="65"/>
      <c r="F133" s="62"/>
    </row>
    <row r="134" spans="1:6" ht="38.25" x14ac:dyDescent="0.25">
      <c r="A134" s="55" t="s">
        <v>107</v>
      </c>
      <c r="B134" s="54" t="s">
        <v>108</v>
      </c>
      <c r="C134" s="63">
        <v>22700000</v>
      </c>
      <c r="D134" s="64">
        <f t="shared" ref="D134:D145" si="15">C134*((1+(5.32/100))^6)</f>
        <v>30980680.989358597</v>
      </c>
      <c r="E134" s="65"/>
      <c r="F134" s="62"/>
    </row>
    <row r="135" spans="1:6" x14ac:dyDescent="0.25">
      <c r="A135" s="55" t="s">
        <v>109</v>
      </c>
      <c r="B135" s="54" t="s">
        <v>110</v>
      </c>
      <c r="C135" s="63">
        <v>7000000</v>
      </c>
      <c r="D135" s="64">
        <f t="shared" si="15"/>
        <v>9553513.9614762198</v>
      </c>
      <c r="E135" s="65"/>
      <c r="F135" s="62"/>
    </row>
    <row r="136" spans="1:6" x14ac:dyDescent="0.25">
      <c r="A136" s="55" t="s">
        <v>111</v>
      </c>
      <c r="B136" s="54" t="s">
        <v>112</v>
      </c>
      <c r="C136" s="63">
        <v>22400000</v>
      </c>
      <c r="D136" s="64">
        <f t="shared" si="15"/>
        <v>30571244.676723901</v>
      </c>
      <c r="E136" s="65"/>
      <c r="F136" s="62"/>
    </row>
    <row r="137" spans="1:6" x14ac:dyDescent="0.25">
      <c r="A137" s="55" t="s">
        <v>113</v>
      </c>
      <c r="B137" s="54" t="s">
        <v>114</v>
      </c>
      <c r="C137" s="63">
        <v>7200000</v>
      </c>
      <c r="D137" s="64">
        <f t="shared" si="15"/>
        <v>9826471.5032326821</v>
      </c>
      <c r="E137" s="65"/>
      <c r="F137" s="62"/>
    </row>
    <row r="138" spans="1:6" ht="25.5" customHeight="1" x14ac:dyDescent="0.25">
      <c r="A138" s="55" t="s">
        <v>115</v>
      </c>
      <c r="B138" s="55"/>
      <c r="C138" s="63">
        <v>16320000</v>
      </c>
      <c r="D138" s="64">
        <f t="shared" si="15"/>
        <v>22273335.407327414</v>
      </c>
      <c r="E138" s="65"/>
      <c r="F138" s="62"/>
    </row>
    <row r="139" spans="1:6" x14ac:dyDescent="0.25">
      <c r="A139" s="55" t="s">
        <v>116</v>
      </c>
      <c r="B139" s="54" t="s">
        <v>117</v>
      </c>
      <c r="C139" s="63">
        <v>3200000</v>
      </c>
      <c r="D139" s="64">
        <f t="shared" si="15"/>
        <v>4367320.6681034146</v>
      </c>
      <c r="E139" s="65"/>
      <c r="F139" s="62"/>
    </row>
    <row r="140" spans="1:6" x14ac:dyDescent="0.25">
      <c r="A140" s="55" t="s">
        <v>118</v>
      </c>
      <c r="B140" s="55"/>
      <c r="C140" s="63">
        <v>4000000</v>
      </c>
      <c r="D140" s="64">
        <f t="shared" si="15"/>
        <v>5459150.8351292685</v>
      </c>
      <c r="E140" s="65"/>
      <c r="F140" s="62"/>
    </row>
    <row r="141" spans="1:6" x14ac:dyDescent="0.25">
      <c r="A141" s="55" t="s">
        <v>119</v>
      </c>
      <c r="B141" s="55"/>
      <c r="C141" s="63">
        <v>2880000</v>
      </c>
      <c r="D141" s="64">
        <f t="shared" si="15"/>
        <v>3930588.601293073</v>
      </c>
      <c r="E141" s="65"/>
      <c r="F141" s="62"/>
    </row>
    <row r="142" spans="1:6" x14ac:dyDescent="0.25">
      <c r="A142" s="55" t="s">
        <v>120</v>
      </c>
      <c r="B142" s="55"/>
      <c r="C142" s="63">
        <v>7500000</v>
      </c>
      <c r="D142" s="64">
        <f t="shared" si="15"/>
        <v>10235907.815867377</v>
      </c>
      <c r="E142" s="65"/>
      <c r="F142" s="62"/>
    </row>
    <row r="143" spans="1:6" x14ac:dyDescent="0.25">
      <c r="A143" s="55" t="s">
        <v>121</v>
      </c>
      <c r="B143" s="55"/>
      <c r="C143" s="63">
        <v>3500000</v>
      </c>
      <c r="D143" s="64">
        <f t="shared" si="15"/>
        <v>4776756.9807381099</v>
      </c>
      <c r="E143" s="65"/>
      <c r="F143" s="62"/>
    </row>
    <row r="144" spans="1:6" ht="25.5" customHeight="1" x14ac:dyDescent="0.25">
      <c r="A144" s="55" t="s">
        <v>122</v>
      </c>
      <c r="B144" s="55"/>
      <c r="C144" s="63">
        <v>459000.86</v>
      </c>
      <c r="D144" s="64">
        <f t="shared" si="15"/>
        <v>626438.73204851302</v>
      </c>
      <c r="E144" s="65"/>
      <c r="F144" s="62"/>
    </row>
    <row r="145" spans="1:6" x14ac:dyDescent="0.25">
      <c r="A145" s="55" t="s">
        <v>123</v>
      </c>
      <c r="B145" s="55"/>
      <c r="C145" s="63">
        <v>1556565.43</v>
      </c>
      <c r="D145" s="64">
        <f t="shared" si="15"/>
        <v>2124381.366779462</v>
      </c>
      <c r="E145" s="65"/>
      <c r="F145" s="62"/>
    </row>
    <row r="146" spans="1:6" x14ac:dyDescent="0.25">
      <c r="A146" s="55" t="s">
        <v>124</v>
      </c>
      <c r="B146" s="55"/>
      <c r="C146" s="60"/>
      <c r="D146" s="64"/>
      <c r="E146" s="61">
        <f>D147</f>
        <v>5459150.8351292685</v>
      </c>
      <c r="F146" s="66"/>
    </row>
    <row r="147" spans="1:6" x14ac:dyDescent="0.25">
      <c r="A147" s="55" t="s">
        <v>125</v>
      </c>
      <c r="B147" s="54" t="s">
        <v>126</v>
      </c>
      <c r="C147" s="63">
        <v>4000000</v>
      </c>
      <c r="D147" s="64">
        <f>C147*((1+(5.32/100))^6)</f>
        <v>5459150.8351292685</v>
      </c>
      <c r="E147" s="60"/>
      <c r="F147" s="62"/>
    </row>
    <row r="148" spans="1:6" x14ac:dyDescent="0.25">
      <c r="A148" s="55" t="s">
        <v>127</v>
      </c>
      <c r="B148" s="55"/>
      <c r="C148" s="63"/>
      <c r="E148" s="67">
        <f>SUM(D149:D151)</f>
        <v>14534989.098531676</v>
      </c>
      <c r="F148" s="62"/>
    </row>
    <row r="149" spans="1:6" x14ac:dyDescent="0.25">
      <c r="A149" s="55" t="s">
        <v>128</v>
      </c>
      <c r="B149" s="55"/>
      <c r="C149" s="63">
        <v>10200000</v>
      </c>
      <c r="D149" s="64">
        <f>C149*((1+(5.32/100))^6)</f>
        <v>13920834.629579633</v>
      </c>
      <c r="E149" s="60"/>
      <c r="F149" s="68"/>
    </row>
    <row r="150" spans="1:6" x14ac:dyDescent="0.25">
      <c r="A150" s="55" t="s">
        <v>129</v>
      </c>
      <c r="B150" s="55"/>
      <c r="C150" s="63">
        <v>200000</v>
      </c>
      <c r="D150" s="64">
        <f t="shared" ref="D150:D151" si="16">C150*((1+(5.32/100))^6)</f>
        <v>272957.54175646341</v>
      </c>
      <c r="E150" s="60"/>
      <c r="F150" s="68"/>
    </row>
    <row r="151" spans="1:6" x14ac:dyDescent="0.25">
      <c r="A151" s="55" t="s">
        <v>130</v>
      </c>
      <c r="B151" s="55"/>
      <c r="C151" s="63">
        <v>250000</v>
      </c>
      <c r="D151" s="64">
        <f t="shared" si="16"/>
        <v>341196.92719557928</v>
      </c>
      <c r="E151" s="60"/>
      <c r="F151" s="68"/>
    </row>
    <row r="152" spans="1:6" x14ac:dyDescent="0.25">
      <c r="A152" s="69" t="s">
        <v>131</v>
      </c>
      <c r="B152" s="69"/>
      <c r="C152" s="70">
        <v>149655566</v>
      </c>
      <c r="D152" s="71">
        <f>E146+E132+E124</f>
        <v>189713088.32491758</v>
      </c>
      <c r="E152" s="60"/>
      <c r="F152" s="68"/>
    </row>
    <row r="153" spans="1:6" x14ac:dyDescent="0.25">
      <c r="A153" s="69" t="s">
        <v>132</v>
      </c>
      <c r="B153" s="69"/>
      <c r="C153" s="72">
        <f>C152/45</f>
        <v>3325679.2444444443</v>
      </c>
      <c r="D153" s="72">
        <f>D152/45</f>
        <v>4215846.4072203906</v>
      </c>
      <c r="E153" s="60"/>
      <c r="F153" s="68"/>
    </row>
    <row r="154" spans="1:6" x14ac:dyDescent="0.25">
      <c r="A154" s="73"/>
      <c r="B154" s="73"/>
      <c r="C154" s="73"/>
      <c r="D154" s="73"/>
      <c r="E154" s="73"/>
      <c r="F154" s="68"/>
    </row>
    <row r="155" spans="1:6" ht="15.75" x14ac:dyDescent="0.25">
      <c r="A155" s="58" t="s">
        <v>133</v>
      </c>
      <c r="B155" s="58"/>
      <c r="F155" s="68"/>
    </row>
    <row r="156" spans="1:6" ht="25.5" x14ac:dyDescent="0.25">
      <c r="A156" s="55" t="s">
        <v>134</v>
      </c>
      <c r="B156" s="55"/>
      <c r="C156" s="20"/>
      <c r="D156" s="55" t="s">
        <v>94</v>
      </c>
      <c r="E156" s="55" t="s">
        <v>95</v>
      </c>
      <c r="F156" s="68"/>
    </row>
    <row r="157" spans="1:6" x14ac:dyDescent="0.25">
      <c r="A157" s="55" t="s">
        <v>135</v>
      </c>
      <c r="B157" s="55">
        <v>1</v>
      </c>
      <c r="C157" s="54" t="s">
        <v>136</v>
      </c>
      <c r="D157" s="63">
        <v>2600000</v>
      </c>
      <c r="E157" s="64">
        <f>D157*((1+(5.32/100))^6)</f>
        <v>3548448.0428340244</v>
      </c>
      <c r="F157" s="68"/>
    </row>
    <row r="158" spans="1:6" x14ac:dyDescent="0.25">
      <c r="A158" s="55" t="s">
        <v>137</v>
      </c>
      <c r="B158" s="55">
        <v>2</v>
      </c>
      <c r="C158" s="54" t="s">
        <v>136</v>
      </c>
      <c r="D158" s="63">
        <v>3221666.67</v>
      </c>
      <c r="E158" s="64">
        <f t="shared" ref="E158:E165" si="17">D158*((1+(5.32/100))^6)</f>
        <v>4396891.0730096567</v>
      </c>
      <c r="F158" s="68"/>
    </row>
    <row r="159" spans="1:6" x14ac:dyDescent="0.25">
      <c r="A159" s="55" t="s">
        <v>138</v>
      </c>
      <c r="B159" s="55">
        <v>1</v>
      </c>
      <c r="C159" s="54" t="s">
        <v>136</v>
      </c>
      <c r="D159" s="63">
        <v>331372.25</v>
      </c>
      <c r="E159" s="64">
        <f t="shared" si="17"/>
        <v>452252.77383154118</v>
      </c>
      <c r="F159" s="68"/>
    </row>
    <row r="160" spans="1:6" x14ac:dyDescent="0.25">
      <c r="A160" s="55" t="s">
        <v>139</v>
      </c>
      <c r="B160" s="55">
        <v>2</v>
      </c>
      <c r="C160" s="54" t="s">
        <v>136</v>
      </c>
      <c r="D160" s="63">
        <v>281600</v>
      </c>
      <c r="E160" s="64">
        <f t="shared" si="17"/>
        <v>384324.2187931005</v>
      </c>
      <c r="F160" s="68"/>
    </row>
    <row r="161" spans="1:6" x14ac:dyDescent="0.25">
      <c r="A161" s="55" t="s">
        <v>140</v>
      </c>
      <c r="B161" s="55">
        <v>2</v>
      </c>
      <c r="C161" s="54" t="s">
        <v>136</v>
      </c>
      <c r="D161" s="63">
        <v>374000</v>
      </c>
      <c r="E161" s="64">
        <f t="shared" si="17"/>
        <v>510430.60308458656</v>
      </c>
      <c r="F161" s="68"/>
    </row>
    <row r="162" spans="1:6" x14ac:dyDescent="0.25">
      <c r="A162" s="55" t="s">
        <v>141</v>
      </c>
      <c r="B162" s="55">
        <v>1</v>
      </c>
      <c r="C162" s="54" t="s">
        <v>136</v>
      </c>
      <c r="D162" s="63">
        <v>40000</v>
      </c>
      <c r="E162" s="64">
        <f t="shared" si="17"/>
        <v>54591.508351292679</v>
      </c>
      <c r="F162" s="68"/>
    </row>
    <row r="163" spans="1:6" x14ac:dyDescent="0.25">
      <c r="A163" s="55" t="s">
        <v>142</v>
      </c>
      <c r="B163" s="55"/>
      <c r="C163" s="20"/>
      <c r="D163" s="63">
        <v>2500000</v>
      </c>
      <c r="E163" s="64">
        <f t="shared" si="17"/>
        <v>3411969.2719557928</v>
      </c>
      <c r="F163" s="68"/>
    </row>
    <row r="164" spans="1:6" x14ac:dyDescent="0.25">
      <c r="A164" s="55" t="s">
        <v>143</v>
      </c>
      <c r="B164" s="55"/>
      <c r="C164" s="20"/>
      <c r="D164" s="63">
        <v>2500000</v>
      </c>
      <c r="E164" s="64">
        <f t="shared" si="17"/>
        <v>3411969.2719557928</v>
      </c>
      <c r="F164" s="68"/>
    </row>
    <row r="165" spans="1:6" x14ac:dyDescent="0.25">
      <c r="A165" s="55" t="s">
        <v>144</v>
      </c>
      <c r="B165" s="55">
        <v>2</v>
      </c>
      <c r="C165" s="54" t="s">
        <v>136</v>
      </c>
      <c r="D165" s="63">
        <v>83333.33</v>
      </c>
      <c r="E165" s="64">
        <f t="shared" si="17"/>
        <v>113732.30451590073</v>
      </c>
      <c r="F165" s="68"/>
    </row>
    <row r="166" spans="1:6" x14ac:dyDescent="0.25">
      <c r="A166" s="55" t="s">
        <v>145</v>
      </c>
      <c r="B166" s="55"/>
      <c r="C166" s="54"/>
      <c r="D166" s="74">
        <f>SUM(D157:D165)</f>
        <v>11931972.25</v>
      </c>
      <c r="E166" s="74">
        <f>SUM(E157:E165)</f>
        <v>16284609.068331687</v>
      </c>
      <c r="F166" s="68"/>
    </row>
    <row r="167" spans="1:6" ht="24.75" customHeight="1" x14ac:dyDescent="0.25">
      <c r="A167" s="55" t="s">
        <v>146</v>
      </c>
      <c r="B167" s="55"/>
      <c r="C167" s="54"/>
      <c r="D167" s="75">
        <f>D166/45</f>
        <v>265154.93888888886</v>
      </c>
      <c r="E167" s="75">
        <f>E166/45</f>
        <v>361880.20151848195</v>
      </c>
      <c r="F167" s="68"/>
    </row>
    <row r="168" spans="1:6" x14ac:dyDescent="0.25">
      <c r="A168" s="76"/>
      <c r="B168" s="76"/>
      <c r="C168" s="77"/>
      <c r="D168" s="78"/>
      <c r="E168" s="78"/>
      <c r="F168" s="68"/>
    </row>
    <row r="169" spans="1:6" ht="15.75" x14ac:dyDescent="0.25">
      <c r="A169" s="58" t="s">
        <v>147</v>
      </c>
      <c r="B169" s="58"/>
      <c r="F169" s="68"/>
    </row>
    <row r="170" spans="1:6" ht="25.5" x14ac:dyDescent="0.25">
      <c r="A170" s="79" t="s">
        <v>148</v>
      </c>
      <c r="B170" s="79"/>
      <c r="C170" s="55" t="s">
        <v>94</v>
      </c>
      <c r="D170" s="55" t="s">
        <v>95</v>
      </c>
      <c r="E170" s="54" t="s">
        <v>149</v>
      </c>
      <c r="F170" s="68"/>
    </row>
    <row r="171" spans="1:6" x14ac:dyDescent="0.25">
      <c r="A171" s="55" t="s">
        <v>150</v>
      </c>
      <c r="B171" s="55"/>
      <c r="C171" s="54"/>
      <c r="D171" s="20"/>
      <c r="E171" s="74">
        <f>SUM(D172:D174)</f>
        <v>17171836.238462277</v>
      </c>
      <c r="F171" s="62"/>
    </row>
    <row r="172" spans="1:6" x14ac:dyDescent="0.25">
      <c r="A172" s="55" t="s">
        <v>151</v>
      </c>
      <c r="B172" s="80">
        <v>0.05</v>
      </c>
      <c r="C172" s="63">
        <v>1718500</v>
      </c>
      <c r="D172" s="81">
        <f>B172*E124</f>
        <v>2345387.6775424122</v>
      </c>
      <c r="E172" s="20"/>
      <c r="F172" s="62"/>
    </row>
    <row r="173" spans="1:6" ht="24.75" customHeight="1" x14ac:dyDescent="0.25">
      <c r="A173" s="55" t="s">
        <v>152</v>
      </c>
      <c r="B173" s="80">
        <v>0.1</v>
      </c>
      <c r="C173" s="63">
        <v>10063556.630000001</v>
      </c>
      <c r="D173" s="81">
        <f>B173*E132</f>
        <v>13734618.393894009</v>
      </c>
      <c r="E173" s="20"/>
      <c r="F173" s="62"/>
    </row>
    <row r="174" spans="1:6" x14ac:dyDescent="0.25">
      <c r="A174" s="55" t="s">
        <v>153</v>
      </c>
      <c r="B174" s="80">
        <v>0.2</v>
      </c>
      <c r="C174" s="63">
        <v>1800000</v>
      </c>
      <c r="D174" s="81">
        <f>B174*E146</f>
        <v>1091830.1670258536</v>
      </c>
      <c r="E174" s="20"/>
      <c r="F174" s="62"/>
    </row>
    <row r="175" spans="1:6" x14ac:dyDescent="0.25">
      <c r="A175" s="55" t="s">
        <v>141</v>
      </c>
      <c r="B175" s="55"/>
      <c r="C175" s="20"/>
      <c r="D175" s="20"/>
      <c r="E175" s="74">
        <f>SUM(D176:D182)</f>
        <v>651746.42820868688</v>
      </c>
      <c r="F175" s="62"/>
    </row>
    <row r="176" spans="1:6" x14ac:dyDescent="0.25">
      <c r="A176" s="55" t="s">
        <v>154</v>
      </c>
      <c r="B176" s="55"/>
      <c r="C176" s="63">
        <v>150000</v>
      </c>
      <c r="D176" s="82">
        <f>C176*((1+(5.23/100))^6)</f>
        <v>203670.75881521465</v>
      </c>
      <c r="E176" s="20"/>
      <c r="F176" s="62"/>
    </row>
    <row r="177" spans="1:6" x14ac:dyDescent="0.25">
      <c r="A177" s="55" t="s">
        <v>155</v>
      </c>
      <c r="B177" s="55"/>
      <c r="C177" s="63">
        <v>25000</v>
      </c>
      <c r="D177" s="82">
        <f t="shared" ref="D177:D182" si="18">C177*((1+(5.23/100))^6)</f>
        <v>33945.126469202442</v>
      </c>
      <c r="E177" s="20"/>
      <c r="F177" s="62"/>
    </row>
    <row r="178" spans="1:6" x14ac:dyDescent="0.25">
      <c r="A178" s="55" t="s">
        <v>156</v>
      </c>
      <c r="B178" s="55"/>
      <c r="C178" s="63">
        <v>25000</v>
      </c>
      <c r="D178" s="82">
        <f t="shared" si="18"/>
        <v>33945.126469202442</v>
      </c>
      <c r="E178" s="20"/>
      <c r="F178" s="62"/>
    </row>
    <row r="179" spans="1:6" x14ac:dyDescent="0.25">
      <c r="A179" s="55" t="s">
        <v>157</v>
      </c>
      <c r="B179" s="55"/>
      <c r="C179" s="63">
        <v>30000</v>
      </c>
      <c r="D179" s="82">
        <f t="shared" si="18"/>
        <v>40734.15176304293</v>
      </c>
      <c r="E179" s="20"/>
      <c r="F179" s="62"/>
    </row>
    <row r="180" spans="1:6" x14ac:dyDescent="0.25">
      <c r="A180" s="55" t="s">
        <v>158</v>
      </c>
      <c r="B180" s="55"/>
      <c r="C180" s="63">
        <v>50000</v>
      </c>
      <c r="D180" s="82">
        <f t="shared" si="18"/>
        <v>67890.252938404883</v>
      </c>
      <c r="E180" s="20"/>
      <c r="F180" s="62"/>
    </row>
    <row r="181" spans="1:6" x14ac:dyDescent="0.25">
      <c r="A181" s="55" t="s">
        <v>159</v>
      </c>
      <c r="B181" s="55"/>
      <c r="C181" s="63">
        <v>100000</v>
      </c>
      <c r="D181" s="82">
        <f t="shared" si="18"/>
        <v>135780.50587680977</v>
      </c>
      <c r="E181" s="20"/>
      <c r="F181" s="62"/>
    </row>
    <row r="182" spans="1:6" x14ac:dyDescent="0.25">
      <c r="A182" s="55" t="s">
        <v>160</v>
      </c>
      <c r="B182" s="55"/>
      <c r="C182" s="63">
        <v>100000</v>
      </c>
      <c r="D182" s="82">
        <f t="shared" si="18"/>
        <v>135780.50587680977</v>
      </c>
      <c r="E182" s="20"/>
      <c r="F182" s="62"/>
    </row>
    <row r="183" spans="1:6" x14ac:dyDescent="0.25">
      <c r="A183" s="55" t="s">
        <v>161</v>
      </c>
      <c r="B183" s="55"/>
      <c r="C183" s="20"/>
      <c r="D183" s="82"/>
      <c r="E183" s="74">
        <f>SUM(D184:D190)</f>
        <v>3017257.1724316762</v>
      </c>
      <c r="F183" s="62"/>
    </row>
    <row r="184" spans="1:6" x14ac:dyDescent="0.25">
      <c r="A184" s="55" t="s">
        <v>162</v>
      </c>
      <c r="B184" s="83">
        <f>50000*(1+(5.23/100))^5</f>
        <v>64516.062851282783</v>
      </c>
      <c r="C184" s="63">
        <v>600000</v>
      </c>
      <c r="D184" s="82">
        <f>B184*12</f>
        <v>774192.75421539345</v>
      </c>
      <c r="E184" s="20"/>
      <c r="F184" s="62"/>
    </row>
    <row r="185" spans="1:6" x14ac:dyDescent="0.25">
      <c r="A185" s="55" t="s">
        <v>163</v>
      </c>
      <c r="B185" s="83">
        <f>30000*(1+(5.23/100))^5</f>
        <v>38709.637710769668</v>
      </c>
      <c r="C185" s="63">
        <v>360000</v>
      </c>
      <c r="D185" s="82">
        <f t="shared" ref="D185:D188" si="19">B185*12</f>
        <v>464515.65252923605</v>
      </c>
      <c r="E185" s="20"/>
      <c r="F185" s="68"/>
    </row>
    <row r="186" spans="1:6" x14ac:dyDescent="0.25">
      <c r="A186" s="55" t="s">
        <v>164</v>
      </c>
      <c r="B186" s="83">
        <f>25000*(1+(5.23/100))^5</f>
        <v>32258.031425641391</v>
      </c>
      <c r="C186" s="63">
        <v>300000</v>
      </c>
      <c r="D186" s="82">
        <f t="shared" si="19"/>
        <v>387096.37710769672</v>
      </c>
      <c r="E186" s="20"/>
      <c r="F186" s="68"/>
    </row>
    <row r="187" spans="1:6" x14ac:dyDescent="0.25">
      <c r="A187" s="55" t="s">
        <v>165</v>
      </c>
      <c r="B187" s="83">
        <f>20000*(1+(5.23/100))^5</f>
        <v>25806.425140513114</v>
      </c>
      <c r="C187" s="63">
        <v>240000</v>
      </c>
      <c r="D187" s="82">
        <f t="shared" si="19"/>
        <v>309677.1016861574</v>
      </c>
      <c r="E187" s="20"/>
      <c r="F187" s="68"/>
    </row>
    <row r="188" spans="1:6" x14ac:dyDescent="0.25">
      <c r="A188" s="55" t="s">
        <v>166</v>
      </c>
      <c r="B188" s="83">
        <f>15000*(1+(5.23/100))^5</f>
        <v>19354.818855384834</v>
      </c>
      <c r="C188" s="63">
        <v>180000</v>
      </c>
      <c r="D188" s="82">
        <f t="shared" si="19"/>
        <v>232257.82626461802</v>
      </c>
      <c r="E188" s="20"/>
      <c r="F188" s="68"/>
    </row>
    <row r="189" spans="1:6" x14ac:dyDescent="0.25">
      <c r="A189" s="55" t="s">
        <v>167</v>
      </c>
      <c r="B189" s="84" t="s">
        <v>168</v>
      </c>
      <c r="C189" s="63">
        <v>360000</v>
      </c>
      <c r="D189" s="82">
        <f>C189*((1+(5.23/100))^6)</f>
        <v>488809.82115651516</v>
      </c>
      <c r="E189" s="20"/>
      <c r="F189" s="68"/>
    </row>
    <row r="190" spans="1:6" x14ac:dyDescent="0.25">
      <c r="A190" s="55" t="s">
        <v>169</v>
      </c>
      <c r="B190" s="80">
        <v>0.1</v>
      </c>
      <c r="C190" s="63">
        <f>B190*SUM(D184:D189)</f>
        <v>265654.95329596166</v>
      </c>
      <c r="D190" s="82">
        <f>C190*((1+(5.23/100))^6)</f>
        <v>360707.63947205944</v>
      </c>
      <c r="E190" s="20"/>
      <c r="F190" s="68"/>
    </row>
    <row r="191" spans="1:6" x14ac:dyDescent="0.25">
      <c r="A191" s="55" t="s">
        <v>170</v>
      </c>
      <c r="B191" s="55"/>
      <c r="C191" s="74">
        <f>SUM(C172:C190)</f>
        <v>16367711.583295962</v>
      </c>
      <c r="D191" s="74">
        <f>E183+E175+E171</f>
        <v>20840839.839102641</v>
      </c>
      <c r="E191" s="20"/>
      <c r="F191" s="68"/>
    </row>
    <row r="192" spans="1:6" ht="26.25" customHeight="1" x14ac:dyDescent="0.25">
      <c r="A192" s="55" t="s">
        <v>171</v>
      </c>
      <c r="B192" s="55"/>
      <c r="C192" s="75">
        <f>C191/45</f>
        <v>363726.92407324357</v>
      </c>
      <c r="D192" s="75">
        <f>D191/45</f>
        <v>463129.77420228091</v>
      </c>
      <c r="E192" s="20"/>
      <c r="F192" s="68"/>
    </row>
    <row r="193" spans="1:7" x14ac:dyDescent="0.25">
      <c r="A193" s="76"/>
      <c r="B193" s="76"/>
      <c r="C193" s="85"/>
    </row>
    <row r="194" spans="1:7" ht="15.75" x14ac:dyDescent="0.25">
      <c r="A194" s="58" t="s">
        <v>172</v>
      </c>
      <c r="B194" s="58"/>
    </row>
    <row r="195" spans="1:7" ht="25.5" x14ac:dyDescent="0.25">
      <c r="A195" s="20"/>
      <c r="B195" s="20"/>
      <c r="C195" s="20"/>
      <c r="D195" s="55" t="s">
        <v>94</v>
      </c>
      <c r="E195" s="55" t="s">
        <v>95</v>
      </c>
      <c r="F195" s="54" t="s">
        <v>149</v>
      </c>
    </row>
    <row r="196" spans="1:7" x14ac:dyDescent="0.25">
      <c r="A196" s="55" t="s">
        <v>173</v>
      </c>
      <c r="B196" s="55"/>
      <c r="C196" s="20"/>
      <c r="D196" s="20"/>
      <c r="E196" s="20"/>
      <c r="F196" s="20"/>
    </row>
    <row r="197" spans="1:7" x14ac:dyDescent="0.25">
      <c r="A197" s="55" t="s">
        <v>135</v>
      </c>
      <c r="B197" s="55"/>
      <c r="C197" s="20"/>
      <c r="D197" s="20"/>
      <c r="E197" s="20"/>
      <c r="F197" s="74">
        <f>E198</f>
        <v>2036707.5881521464</v>
      </c>
      <c r="G197" s="62"/>
    </row>
    <row r="198" spans="1:7" ht="25.5" x14ac:dyDescent="0.25">
      <c r="A198" s="55" t="s">
        <v>174</v>
      </c>
      <c r="B198" s="55"/>
      <c r="C198" s="20"/>
      <c r="D198" s="63">
        <v>1500000</v>
      </c>
      <c r="E198" s="64">
        <f>D198*((1+(5.23/100))^6)</f>
        <v>2036707.5881521464</v>
      </c>
      <c r="F198" s="20"/>
      <c r="G198" s="62"/>
    </row>
    <row r="199" spans="1:7" x14ac:dyDescent="0.25">
      <c r="A199" s="55" t="s">
        <v>137</v>
      </c>
      <c r="B199" s="55"/>
      <c r="C199" s="20"/>
      <c r="D199" s="20"/>
      <c r="E199" s="60"/>
      <c r="F199" s="74">
        <f>E200+E201+E202</f>
        <v>3265600</v>
      </c>
      <c r="G199" s="62"/>
    </row>
    <row r="200" spans="1:7" x14ac:dyDescent="0.25">
      <c r="A200" s="55" t="s">
        <v>175</v>
      </c>
      <c r="B200" s="55"/>
      <c r="C200" s="20"/>
      <c r="D200" s="63">
        <v>1000000</v>
      </c>
      <c r="E200" s="63">
        <v>1000000</v>
      </c>
      <c r="F200" s="20"/>
      <c r="G200" s="62"/>
    </row>
    <row r="201" spans="1:7" ht="25.5" x14ac:dyDescent="0.25">
      <c r="A201" s="55" t="s">
        <v>176</v>
      </c>
      <c r="B201" s="54" t="s">
        <v>177</v>
      </c>
      <c r="C201" s="54" t="s">
        <v>178</v>
      </c>
      <c r="D201" s="63">
        <f>(230*315*12)+(3500*12*11.1)</f>
        <v>1335600</v>
      </c>
      <c r="E201" s="63">
        <f>(230*315*12)+(3500*12*11.1)</f>
        <v>1335600</v>
      </c>
      <c r="F201" s="20"/>
      <c r="G201" s="62"/>
    </row>
    <row r="202" spans="1:7" x14ac:dyDescent="0.25">
      <c r="A202" s="55" t="s">
        <v>179</v>
      </c>
      <c r="B202" s="54" t="s">
        <v>180</v>
      </c>
      <c r="C202" s="54" t="s">
        <v>181</v>
      </c>
      <c r="D202" s="63">
        <f>77500*12</f>
        <v>930000</v>
      </c>
      <c r="E202" s="63">
        <f>77500*12</f>
        <v>930000</v>
      </c>
      <c r="F202" s="20"/>
      <c r="G202" s="62"/>
    </row>
    <row r="203" spans="1:7" x14ac:dyDescent="0.25">
      <c r="A203" s="55" t="s">
        <v>138</v>
      </c>
      <c r="B203" s="55"/>
      <c r="C203" s="20"/>
      <c r="D203" s="20"/>
      <c r="E203" s="60"/>
      <c r="F203" s="74">
        <f>E204+E205+E206</f>
        <v>5222315.1142390454</v>
      </c>
      <c r="G203" s="62"/>
    </row>
    <row r="204" spans="1:7" ht="25.5" x14ac:dyDescent="0.25">
      <c r="A204" s="55" t="s">
        <v>182</v>
      </c>
      <c r="B204" s="55"/>
      <c r="C204" s="80">
        <v>0.02</v>
      </c>
      <c r="D204" s="63">
        <v>687400</v>
      </c>
      <c r="E204" s="86">
        <f>C204*E124</f>
        <v>938155.07101696474</v>
      </c>
      <c r="F204" s="20"/>
      <c r="G204" s="62"/>
    </row>
    <row r="205" spans="1:7" ht="25.5" x14ac:dyDescent="0.25">
      <c r="A205" s="55" t="s">
        <v>183</v>
      </c>
      <c r="B205" s="55"/>
      <c r="C205" s="80">
        <v>0.03</v>
      </c>
      <c r="D205" s="63">
        <v>3019066.99</v>
      </c>
      <c r="E205" s="86">
        <f>C205*E132</f>
        <v>4120385.5181682021</v>
      </c>
      <c r="F205" s="20"/>
      <c r="G205" s="62"/>
    </row>
    <row r="206" spans="1:7" x14ac:dyDescent="0.25">
      <c r="A206" s="55" t="s">
        <v>153</v>
      </c>
      <c r="B206" s="55"/>
      <c r="C206" s="80">
        <v>0.03</v>
      </c>
      <c r="D206" s="63">
        <v>270000</v>
      </c>
      <c r="E206" s="86">
        <f>C206*E146</f>
        <v>163774.52505387805</v>
      </c>
      <c r="F206" s="20"/>
      <c r="G206" s="62"/>
    </row>
    <row r="207" spans="1:7" x14ac:dyDescent="0.25">
      <c r="A207" s="55" t="s">
        <v>139</v>
      </c>
      <c r="B207" s="55"/>
      <c r="C207" s="20"/>
      <c r="D207" s="20"/>
      <c r="E207" s="60"/>
      <c r="F207" s="74">
        <f>SUM(E208:E211)</f>
        <v>2554834.9200000004</v>
      </c>
      <c r="G207" s="62"/>
    </row>
    <row r="208" spans="1:7" x14ac:dyDescent="0.25">
      <c r="A208" s="55" t="s">
        <v>184</v>
      </c>
      <c r="B208" s="55"/>
      <c r="C208" s="54" t="s">
        <v>185</v>
      </c>
      <c r="D208" s="63">
        <v>576000</v>
      </c>
      <c r="E208" s="64">
        <f>2*19354.81*12</f>
        <v>464515.44000000006</v>
      </c>
      <c r="F208" s="20"/>
      <c r="G208" s="62"/>
    </row>
    <row r="209" spans="1:22" x14ac:dyDescent="0.25">
      <c r="A209" s="55" t="s">
        <v>186</v>
      </c>
      <c r="B209" s="55"/>
      <c r="C209" s="54" t="s">
        <v>187</v>
      </c>
      <c r="D209" s="63">
        <v>384000</v>
      </c>
      <c r="E209" s="64">
        <f t="shared" ref="E209:E210" si="20">4*19354.81*12</f>
        <v>929030.88000000012</v>
      </c>
      <c r="F209" s="20"/>
      <c r="G209" s="62"/>
    </row>
    <row r="210" spans="1:22" x14ac:dyDescent="0.25">
      <c r="A210" s="55" t="s">
        <v>188</v>
      </c>
      <c r="B210" s="55"/>
      <c r="C210" s="54" t="s">
        <v>189</v>
      </c>
      <c r="D210" s="63">
        <v>576000</v>
      </c>
      <c r="E210" s="64">
        <f t="shared" si="20"/>
        <v>929030.88000000012</v>
      </c>
      <c r="F210" s="20"/>
      <c r="G210" s="62"/>
    </row>
    <row r="211" spans="1:22" x14ac:dyDescent="0.25">
      <c r="A211" s="55" t="s">
        <v>169</v>
      </c>
      <c r="B211" s="55"/>
      <c r="C211" s="80">
        <v>0.1</v>
      </c>
      <c r="D211" s="63">
        <v>153600</v>
      </c>
      <c r="E211" s="86">
        <f>C211*(SUM(E208:E210))</f>
        <v>232257.72000000003</v>
      </c>
      <c r="F211" s="20"/>
      <c r="G211" s="62"/>
    </row>
    <row r="212" spans="1:22" x14ac:dyDescent="0.25">
      <c r="A212" s="55" t="s">
        <v>144</v>
      </c>
      <c r="B212" s="55"/>
      <c r="C212" s="20"/>
      <c r="D212" s="20"/>
      <c r="E212" s="60"/>
      <c r="F212" s="74">
        <f>E213</f>
        <v>678902.52938404877</v>
      </c>
      <c r="G212" s="62"/>
    </row>
    <row r="213" spans="1:22" x14ac:dyDescent="0.25">
      <c r="A213" s="55" t="s">
        <v>190</v>
      </c>
      <c r="B213" s="55"/>
      <c r="C213" s="20"/>
      <c r="D213" s="63">
        <v>500000</v>
      </c>
      <c r="E213" s="64">
        <f>D213*((1+(5.23/100))^6)</f>
        <v>678902.52938404877</v>
      </c>
      <c r="F213" s="20"/>
    </row>
    <row r="214" spans="1:22" ht="28.5" customHeight="1" x14ac:dyDescent="0.25">
      <c r="A214" s="55" t="s">
        <v>191</v>
      </c>
      <c r="B214" s="55"/>
      <c r="C214" s="74"/>
      <c r="D214" s="74">
        <f>SUM(D198:D213)</f>
        <v>10931666.99</v>
      </c>
      <c r="E214" s="70">
        <f>SUM(E198:E213)</f>
        <v>13758360.151775241</v>
      </c>
      <c r="F214" s="74"/>
    </row>
    <row r="215" spans="1:22" ht="30" customHeight="1" x14ac:dyDescent="0.25">
      <c r="A215" s="55" t="s">
        <v>192</v>
      </c>
      <c r="B215" s="55"/>
      <c r="C215" s="74"/>
      <c r="D215" s="74">
        <f>D214/45</f>
        <v>242925.93311111111</v>
      </c>
      <c r="E215" s="74">
        <f>E214/45</f>
        <v>305741.33670611645</v>
      </c>
      <c r="F215" s="74"/>
    </row>
    <row r="218" spans="1:22" x14ac:dyDescent="0.25">
      <c r="A218" s="87" t="s">
        <v>193</v>
      </c>
    </row>
    <row r="219" spans="1:22" x14ac:dyDescent="0.25">
      <c r="A219" s="20"/>
      <c r="B219" s="20">
        <v>2025</v>
      </c>
      <c r="C219" s="20">
        <v>2026</v>
      </c>
      <c r="D219" s="20">
        <v>2027</v>
      </c>
      <c r="E219" s="20">
        <v>2028</v>
      </c>
      <c r="F219" s="20">
        <v>2029</v>
      </c>
      <c r="G219" s="20">
        <v>2030</v>
      </c>
      <c r="H219" s="20">
        <v>2031</v>
      </c>
      <c r="I219" s="20">
        <v>2032</v>
      </c>
      <c r="J219" s="20">
        <v>2033</v>
      </c>
      <c r="K219" s="20">
        <v>2034</v>
      </c>
      <c r="L219" s="20">
        <v>2035</v>
      </c>
      <c r="M219" s="20">
        <v>2036</v>
      </c>
      <c r="N219" s="20">
        <v>2037</v>
      </c>
      <c r="O219" s="20">
        <v>2038</v>
      </c>
      <c r="P219" s="20">
        <v>2039</v>
      </c>
      <c r="Q219" s="20">
        <v>2040</v>
      </c>
      <c r="R219" s="20">
        <v>2041</v>
      </c>
      <c r="S219" s="20">
        <v>2042</v>
      </c>
      <c r="T219" s="20">
        <v>2043</v>
      </c>
      <c r="U219" s="20">
        <v>2044</v>
      </c>
    </row>
    <row r="220" spans="1:22" x14ac:dyDescent="0.25">
      <c r="A220" s="20" t="s">
        <v>194</v>
      </c>
      <c r="B220" s="30">
        <f t="shared" ref="B220:U220" si="21">($B$105*$C$21*$C$23)*365</f>
        <v>136263.03182917467</v>
      </c>
      <c r="C220" s="30">
        <f t="shared" si="21"/>
        <v>136263.03182917467</v>
      </c>
      <c r="D220" s="30">
        <f t="shared" si="21"/>
        <v>136263.03182917467</v>
      </c>
      <c r="E220" s="30">
        <f t="shared" si="21"/>
        <v>136263.03182917467</v>
      </c>
      <c r="F220" s="30">
        <f t="shared" si="21"/>
        <v>136263.03182917467</v>
      </c>
      <c r="G220" s="30">
        <f t="shared" si="21"/>
        <v>136263.03182917467</v>
      </c>
      <c r="H220" s="30">
        <f t="shared" si="21"/>
        <v>136263.03182917467</v>
      </c>
      <c r="I220" s="30">
        <f t="shared" si="21"/>
        <v>136263.03182917467</v>
      </c>
      <c r="J220" s="30">
        <f t="shared" si="21"/>
        <v>136263.03182917467</v>
      </c>
      <c r="K220" s="30">
        <f t="shared" si="21"/>
        <v>136263.03182917467</v>
      </c>
      <c r="L220" s="30">
        <f t="shared" si="21"/>
        <v>136263.03182917467</v>
      </c>
      <c r="M220" s="30">
        <f t="shared" si="21"/>
        <v>136263.03182917467</v>
      </c>
      <c r="N220" s="30">
        <f t="shared" si="21"/>
        <v>136263.03182917467</v>
      </c>
      <c r="O220" s="30">
        <f t="shared" si="21"/>
        <v>136263.03182917467</v>
      </c>
      <c r="P220" s="30">
        <f t="shared" si="21"/>
        <v>136263.03182917467</v>
      </c>
      <c r="Q220" s="30">
        <f t="shared" si="21"/>
        <v>136263.03182917467</v>
      </c>
      <c r="R220" s="30">
        <f t="shared" si="21"/>
        <v>136263.03182917467</v>
      </c>
      <c r="S220" s="30">
        <f t="shared" si="21"/>
        <v>136263.03182917467</v>
      </c>
      <c r="T220" s="30">
        <f t="shared" si="21"/>
        <v>136263.03182917467</v>
      </c>
      <c r="U220" s="30">
        <f t="shared" si="21"/>
        <v>136263.03182917467</v>
      </c>
      <c r="V220" s="32"/>
    </row>
    <row r="221" spans="1:22" x14ac:dyDescent="0.25">
      <c r="A221" s="20" t="s">
        <v>195</v>
      </c>
      <c r="B221" s="30">
        <f t="shared" ref="B221:U221" si="22">($B$105*$C$30*365)</f>
        <v>1462338.1114374418</v>
      </c>
      <c r="C221" s="30">
        <f t="shared" si="22"/>
        <v>1462338.1114374418</v>
      </c>
      <c r="D221" s="30">
        <f t="shared" si="22"/>
        <v>1462338.1114374418</v>
      </c>
      <c r="E221" s="30">
        <f t="shared" si="22"/>
        <v>1462338.1114374418</v>
      </c>
      <c r="F221" s="30">
        <f t="shared" si="22"/>
        <v>1462338.1114374418</v>
      </c>
      <c r="G221" s="30">
        <f t="shared" si="22"/>
        <v>1462338.1114374418</v>
      </c>
      <c r="H221" s="30">
        <f t="shared" si="22"/>
        <v>1462338.1114374418</v>
      </c>
      <c r="I221" s="30">
        <f t="shared" si="22"/>
        <v>1462338.1114374418</v>
      </c>
      <c r="J221" s="30">
        <f t="shared" si="22"/>
        <v>1462338.1114374418</v>
      </c>
      <c r="K221" s="30">
        <f t="shared" si="22"/>
        <v>1462338.1114374418</v>
      </c>
      <c r="L221" s="30">
        <f t="shared" si="22"/>
        <v>1462338.1114374418</v>
      </c>
      <c r="M221" s="30">
        <f t="shared" si="22"/>
        <v>1462338.1114374418</v>
      </c>
      <c r="N221" s="30">
        <f t="shared" si="22"/>
        <v>1462338.1114374418</v>
      </c>
      <c r="O221" s="30">
        <f t="shared" si="22"/>
        <v>1462338.1114374418</v>
      </c>
      <c r="P221" s="30">
        <f t="shared" si="22"/>
        <v>1462338.1114374418</v>
      </c>
      <c r="Q221" s="30">
        <f t="shared" si="22"/>
        <v>1462338.1114374418</v>
      </c>
      <c r="R221" s="30">
        <f t="shared" si="22"/>
        <v>1462338.1114374418</v>
      </c>
      <c r="S221" s="30">
        <f t="shared" si="22"/>
        <v>1462338.1114374418</v>
      </c>
      <c r="T221" s="30">
        <f t="shared" si="22"/>
        <v>1462338.1114374418</v>
      </c>
      <c r="U221" s="30">
        <f t="shared" si="22"/>
        <v>1462338.1114374418</v>
      </c>
      <c r="V221" s="32"/>
    </row>
    <row r="223" spans="1:22" x14ac:dyDescent="0.25">
      <c r="A223" s="87" t="s">
        <v>196</v>
      </c>
    </row>
    <row r="224" spans="1:22" x14ac:dyDescent="0.25">
      <c r="A224" s="20"/>
      <c r="B224" s="20">
        <v>2025</v>
      </c>
      <c r="C224" s="20">
        <v>2026</v>
      </c>
      <c r="D224" s="20">
        <v>2027</v>
      </c>
      <c r="E224" s="20">
        <v>2028</v>
      </c>
      <c r="F224" s="20">
        <v>2029</v>
      </c>
      <c r="G224" s="20">
        <v>2030</v>
      </c>
      <c r="H224" s="20">
        <v>2031</v>
      </c>
      <c r="I224" s="20">
        <v>2032</v>
      </c>
      <c r="J224" s="20">
        <v>2033</v>
      </c>
      <c r="K224" s="20">
        <v>2034</v>
      </c>
      <c r="L224" s="20">
        <v>2035</v>
      </c>
      <c r="M224" s="20">
        <v>2036</v>
      </c>
      <c r="N224" s="20">
        <v>2037</v>
      </c>
      <c r="O224" s="20">
        <v>2038</v>
      </c>
      <c r="P224" s="20">
        <v>2039</v>
      </c>
      <c r="Q224" s="20">
        <v>2040</v>
      </c>
      <c r="R224" s="20">
        <v>2041</v>
      </c>
      <c r="S224" s="20">
        <v>2042</v>
      </c>
      <c r="T224" s="20">
        <v>2043</v>
      </c>
      <c r="U224" s="20">
        <v>2044</v>
      </c>
    </row>
    <row r="225" spans="1:22" x14ac:dyDescent="0.25">
      <c r="A225" s="20" t="s">
        <v>194</v>
      </c>
      <c r="B225" s="30">
        <f t="shared" ref="B225:U225" si="23">($B$108*((1+$B$107)^(B224-$B$224))*B220)</f>
        <v>20984506.901692897</v>
      </c>
      <c r="C225" s="30">
        <f t="shared" si="23"/>
        <v>22033732.246777546</v>
      </c>
      <c r="D225" s="30">
        <f t="shared" si="23"/>
        <v>23135418.85911642</v>
      </c>
      <c r="E225" s="30">
        <f t="shared" si="23"/>
        <v>24292189.802072246</v>
      </c>
      <c r="F225" s="30">
        <f t="shared" si="23"/>
        <v>25506799.292175852</v>
      </c>
      <c r="G225" s="30">
        <f t="shared" si="23"/>
        <v>26782139.256784648</v>
      </c>
      <c r="H225" s="30">
        <f t="shared" si="23"/>
        <v>28121246.219623879</v>
      </c>
      <c r="I225" s="30">
        <f t="shared" si="23"/>
        <v>29527308.530605078</v>
      </c>
      <c r="J225" s="30">
        <f t="shared" si="23"/>
        <v>31003673.957135331</v>
      </c>
      <c r="K225" s="30">
        <f t="shared" si="23"/>
        <v>32553857.654992096</v>
      </c>
      <c r="L225" s="30">
        <f t="shared" si="23"/>
        <v>34181550.537741698</v>
      </c>
      <c r="M225" s="30">
        <f t="shared" si="23"/>
        <v>35890628.064628787</v>
      </c>
      <c r="N225" s="30">
        <f t="shared" si="23"/>
        <v>37685159.467860222</v>
      </c>
      <c r="O225" s="30">
        <f t="shared" si="23"/>
        <v>39569417.441253237</v>
      </c>
      <c r="P225" s="30">
        <f t="shared" si="23"/>
        <v>41547888.313315891</v>
      </c>
      <c r="Q225" s="30">
        <f t="shared" si="23"/>
        <v>43625282.728981704</v>
      </c>
      <c r="R225" s="30">
        <f t="shared" si="23"/>
        <v>45806546.86543078</v>
      </c>
      <c r="S225" s="30">
        <f t="shared" si="23"/>
        <v>48096874.208702326</v>
      </c>
      <c r="T225" s="30">
        <f t="shared" si="23"/>
        <v>50501717.919137441</v>
      </c>
      <c r="U225" s="30">
        <f t="shared" si="23"/>
        <v>53026803.815094322</v>
      </c>
      <c r="V225" s="142">
        <f>U225/(U225+U226)</f>
        <v>0.34703699897828622</v>
      </c>
    </row>
    <row r="226" spans="1:22" x14ac:dyDescent="0.25">
      <c r="A226" s="20" t="s">
        <v>195</v>
      </c>
      <c r="B226" s="30">
        <f t="shared" ref="B226:U226" si="24">($B$109*((1+$B$107)^(B224-$B$224))*B221)</f>
        <v>39483129.00881093</v>
      </c>
      <c r="C226" s="30">
        <f t="shared" si="24"/>
        <v>41457285.459251478</v>
      </c>
      <c r="D226" s="30">
        <f t="shared" si="24"/>
        <v>43530149.732214049</v>
      </c>
      <c r="E226" s="30">
        <f t="shared" si="24"/>
        <v>45706657.218824752</v>
      </c>
      <c r="F226" s="30">
        <f t="shared" si="24"/>
        <v>47991990.07976599</v>
      </c>
      <c r="G226" s="30">
        <f t="shared" si="24"/>
        <v>50391589.583754294</v>
      </c>
      <c r="H226" s="30">
        <f t="shared" si="24"/>
        <v>52911169.062941998</v>
      </c>
      <c r="I226" s="30">
        <f t="shared" si="24"/>
        <v>55556727.516089104</v>
      </c>
      <c r="J226" s="30">
        <f t="shared" si="24"/>
        <v>58334563.891893558</v>
      </c>
      <c r="K226" s="30">
        <f t="shared" si="24"/>
        <v>61251292.086488239</v>
      </c>
      <c r="L226" s="30">
        <f t="shared" si="24"/>
        <v>64313856.690812647</v>
      </c>
      <c r="M226" s="30">
        <f t="shared" si="24"/>
        <v>67529549.525353298</v>
      </c>
      <c r="N226" s="30">
        <f t="shared" si="24"/>
        <v>70906027.001620948</v>
      </c>
      <c r="O226" s="30">
        <f t="shared" si="24"/>
        <v>74451328.351702005</v>
      </c>
      <c r="P226" s="30">
        <f t="shared" si="24"/>
        <v>78173894.76928708</v>
      </c>
      <c r="Q226" s="30">
        <f t="shared" si="24"/>
        <v>82082589.507751465</v>
      </c>
      <c r="R226" s="30">
        <f t="shared" si="24"/>
        <v>86186718.983139023</v>
      </c>
      <c r="S226" s="30">
        <f t="shared" si="24"/>
        <v>90496054.932295993</v>
      </c>
      <c r="T226" s="30">
        <f t="shared" si="24"/>
        <v>95020857.678910792</v>
      </c>
      <c r="U226" s="30">
        <f t="shared" si="24"/>
        <v>99771900.562856331</v>
      </c>
      <c r="V226" s="142">
        <f>U226/(U225+U226)</f>
        <v>0.65296300102171367</v>
      </c>
    </row>
    <row r="227" spans="1:22" x14ac:dyDescent="0.25">
      <c r="A227" s="20" t="s">
        <v>197</v>
      </c>
      <c r="B227" s="88">
        <f>SUM(B225:B226)</f>
        <v>60467635.910503827</v>
      </c>
      <c r="C227" s="88">
        <f t="shared" ref="C227:U227" si="25">SUM(C225:C226)</f>
        <v>63491017.706029028</v>
      </c>
      <c r="D227" s="88">
        <f t="shared" si="25"/>
        <v>66665568.591330469</v>
      </c>
      <c r="E227" s="88">
        <f t="shared" si="25"/>
        <v>69998847.020897001</v>
      </c>
      <c r="F227" s="88">
        <f t="shared" si="25"/>
        <v>73498789.371941835</v>
      </c>
      <c r="G227" s="88">
        <f t="shared" si="25"/>
        <v>77173728.840538949</v>
      </c>
      <c r="H227" s="88">
        <f t="shared" si="25"/>
        <v>81032415.282565877</v>
      </c>
      <c r="I227" s="88">
        <f t="shared" si="25"/>
        <v>85084036.046694189</v>
      </c>
      <c r="J227" s="88">
        <f t="shared" si="25"/>
        <v>89338237.849028885</v>
      </c>
      <c r="K227" s="88">
        <f t="shared" si="25"/>
        <v>93805149.741480336</v>
      </c>
      <c r="L227" s="88">
        <f t="shared" si="25"/>
        <v>98495407.228554338</v>
      </c>
      <c r="M227" s="88">
        <f t="shared" si="25"/>
        <v>103420177.58998209</v>
      </c>
      <c r="N227" s="88">
        <f t="shared" si="25"/>
        <v>108591186.46948117</v>
      </c>
      <c r="O227" s="88">
        <f t="shared" si="25"/>
        <v>114020745.79295525</v>
      </c>
      <c r="P227" s="88">
        <f t="shared" si="25"/>
        <v>119721783.08260298</v>
      </c>
      <c r="Q227" s="88">
        <f t="shared" si="25"/>
        <v>125707872.23673317</v>
      </c>
      <c r="R227" s="88">
        <f t="shared" si="25"/>
        <v>131993265.84856981</v>
      </c>
      <c r="S227" s="88">
        <f t="shared" si="25"/>
        <v>138592929.1409983</v>
      </c>
      <c r="T227" s="88">
        <f t="shared" si="25"/>
        <v>145522575.59804824</v>
      </c>
      <c r="U227" s="88">
        <f t="shared" si="25"/>
        <v>152798704.37795067</v>
      </c>
      <c r="V227" s="89"/>
    </row>
    <row r="228" spans="1:22" x14ac:dyDescent="0.25">
      <c r="B228" s="62"/>
      <c r="C228" s="62"/>
      <c r="D228" s="62"/>
      <c r="E228" s="62"/>
      <c r="F228" s="62"/>
      <c r="G228" s="62"/>
      <c r="H228" s="62"/>
      <c r="I228" s="62"/>
      <c r="J228" s="62"/>
      <c r="K228" s="62"/>
      <c r="L228" s="62"/>
      <c r="M228" s="62"/>
      <c r="N228" s="62"/>
      <c r="O228" s="62"/>
      <c r="P228" s="62"/>
      <c r="Q228" s="62"/>
      <c r="R228" s="62"/>
      <c r="S228" s="62"/>
      <c r="T228" s="62"/>
      <c r="U228" s="62"/>
      <c r="V228" s="89"/>
    </row>
    <row r="229" spans="1:22" x14ac:dyDescent="0.25">
      <c r="B229" s="62"/>
      <c r="C229" s="62"/>
      <c r="D229" s="62"/>
      <c r="E229" s="62"/>
      <c r="F229" s="62"/>
      <c r="G229" s="62"/>
      <c r="H229" s="62"/>
      <c r="I229" s="62"/>
      <c r="J229" s="62"/>
      <c r="K229" s="62"/>
      <c r="L229" s="62"/>
      <c r="M229" s="62"/>
      <c r="N229" s="62"/>
      <c r="O229" s="62"/>
      <c r="P229" s="62"/>
      <c r="Q229" s="62"/>
      <c r="R229" s="62"/>
      <c r="S229" s="62"/>
      <c r="T229" s="62"/>
      <c r="U229" s="62"/>
      <c r="V229" s="89"/>
    </row>
    <row r="231" spans="1:22" x14ac:dyDescent="0.25">
      <c r="A231" s="20" t="s">
        <v>198</v>
      </c>
      <c r="B231" s="20">
        <v>2024</v>
      </c>
    </row>
    <row r="232" spans="1:22" ht="30" x14ac:dyDescent="0.25">
      <c r="A232" s="99" t="s">
        <v>270</v>
      </c>
      <c r="B232" s="20">
        <v>1</v>
      </c>
    </row>
    <row r="233" spans="1:22" x14ac:dyDescent="0.25">
      <c r="A233" s="20" t="s">
        <v>199</v>
      </c>
      <c r="B233" s="88">
        <f>D152*B232</f>
        <v>189713088.32491758</v>
      </c>
    </row>
    <row r="234" spans="1:22" x14ac:dyDescent="0.25">
      <c r="A234" s="20" t="s">
        <v>200</v>
      </c>
      <c r="B234" s="88">
        <f>E166*1</f>
        <v>16284609.068331687</v>
      </c>
    </row>
    <row r="235" spans="1:22" x14ac:dyDescent="0.25">
      <c r="A235" s="20" t="s">
        <v>201</v>
      </c>
      <c r="B235" s="88">
        <f>D191</f>
        <v>20840839.839102641</v>
      </c>
    </row>
    <row r="236" spans="1:22" x14ac:dyDescent="0.25">
      <c r="A236" s="20" t="s">
        <v>202</v>
      </c>
      <c r="B236" s="90">
        <f>E214</f>
        <v>13758360.151775241</v>
      </c>
      <c r="C236" s="91"/>
      <c r="D236" s="91"/>
      <c r="E236" s="91"/>
    </row>
    <row r="237" spans="1:22" x14ac:dyDescent="0.25">
      <c r="B237" s="91"/>
      <c r="C237" s="91"/>
      <c r="D237" s="91"/>
      <c r="E237" s="91"/>
    </row>
    <row r="238" spans="1:22" x14ac:dyDescent="0.25">
      <c r="B238" s="91"/>
      <c r="C238" s="91"/>
      <c r="D238" s="91"/>
      <c r="E238" s="91"/>
    </row>
    <row r="239" spans="1:22" x14ac:dyDescent="0.25">
      <c r="A239" s="92" t="s">
        <v>203</v>
      </c>
      <c r="B239" s="20"/>
      <c r="I239" s="93"/>
    </row>
    <row r="240" spans="1:22" x14ac:dyDescent="0.25">
      <c r="A240" s="20" t="s">
        <v>204</v>
      </c>
      <c r="B240" s="94">
        <f>E124*B232</f>
        <v>46907753.550848238</v>
      </c>
      <c r="C240" s="68"/>
    </row>
    <row r="241" spans="1:26" x14ac:dyDescent="0.25">
      <c r="A241" s="20" t="s">
        <v>205</v>
      </c>
      <c r="B241" s="94">
        <f>E132*B232</f>
        <v>137346183.93894008</v>
      </c>
      <c r="C241" s="68"/>
    </row>
    <row r="242" spans="1:26" x14ac:dyDescent="0.25">
      <c r="A242" s="20" t="s">
        <v>206</v>
      </c>
      <c r="B242" s="94">
        <f>E146*B232</f>
        <v>5459150.8351292685</v>
      </c>
      <c r="C242" s="68"/>
    </row>
    <row r="243" spans="1:26" x14ac:dyDescent="0.25">
      <c r="A243" s="20" t="s">
        <v>127</v>
      </c>
      <c r="B243" s="94">
        <f>E148*B232</f>
        <v>14534989.098531676</v>
      </c>
      <c r="C243" s="68"/>
    </row>
    <row r="244" spans="1:26" x14ac:dyDescent="0.25">
      <c r="B244" s="95"/>
      <c r="C244" s="68"/>
    </row>
    <row r="245" spans="1:26" x14ac:dyDescent="0.25">
      <c r="B245" s="95"/>
      <c r="C245" s="68"/>
    </row>
    <row r="246" spans="1:26" x14ac:dyDescent="0.25">
      <c r="A246" s="20" t="s">
        <v>207</v>
      </c>
      <c r="B246" s="96">
        <f>B111</f>
        <v>10</v>
      </c>
      <c r="C246" s="68" t="s">
        <v>82</v>
      </c>
    </row>
    <row r="247" spans="1:26" x14ac:dyDescent="0.25">
      <c r="A247" s="20" t="s">
        <v>263</v>
      </c>
      <c r="B247" s="94">
        <f>(B233+B234)*1</f>
        <v>205997697.39324927</v>
      </c>
      <c r="C247" s="68"/>
    </row>
    <row r="248" spans="1:26" x14ac:dyDescent="0.25">
      <c r="A248" s="20" t="s">
        <v>208</v>
      </c>
      <c r="B248" s="51">
        <f>B110</f>
        <v>7.0000000000000007E-2</v>
      </c>
      <c r="C248" s="68"/>
    </row>
    <row r="249" spans="1:26" x14ac:dyDescent="0.25">
      <c r="A249" s="20" t="s">
        <v>209</v>
      </c>
      <c r="B249" s="50">
        <v>10</v>
      </c>
      <c r="C249" s="142" t="s">
        <v>267</v>
      </c>
    </row>
    <row r="250" spans="1:26" x14ac:dyDescent="0.25">
      <c r="A250" s="20" t="s">
        <v>266</v>
      </c>
      <c r="B250" s="51"/>
      <c r="C250" s="68"/>
    </row>
    <row r="251" spans="1:26" x14ac:dyDescent="0.25">
      <c r="A251" s="20" t="s">
        <v>210</v>
      </c>
      <c r="B251" s="94">
        <f>B247*((1+B248)^B246)</f>
        <v>405228650.02565551</v>
      </c>
    </row>
    <row r="252" spans="1:26" x14ac:dyDescent="0.25">
      <c r="A252" s="20" t="s">
        <v>211</v>
      </c>
      <c r="B252" s="94">
        <f>B251/B246</f>
        <v>40522865.002565548</v>
      </c>
    </row>
    <row r="253" spans="1:26" x14ac:dyDescent="0.25">
      <c r="B253" s="95"/>
    </row>
    <row r="254" spans="1:26" x14ac:dyDescent="0.25">
      <c r="A254" s="87" t="s">
        <v>212</v>
      </c>
      <c r="B254" s="95"/>
    </row>
    <row r="255" spans="1:26" x14ac:dyDescent="0.25">
      <c r="B255" s="94" t="s">
        <v>213</v>
      </c>
      <c r="C255" s="20" t="s">
        <v>214</v>
      </c>
      <c r="D255" s="20">
        <v>2025</v>
      </c>
      <c r="E255" s="20">
        <v>2026</v>
      </c>
      <c r="F255" s="20">
        <v>2027</v>
      </c>
      <c r="G255" s="20">
        <v>2028</v>
      </c>
      <c r="H255" s="20">
        <v>2029</v>
      </c>
      <c r="I255" s="20">
        <v>2030</v>
      </c>
      <c r="J255" s="20">
        <v>2031</v>
      </c>
      <c r="K255" s="20">
        <v>2032</v>
      </c>
      <c r="L255" s="20">
        <v>2033</v>
      </c>
      <c r="M255" s="20">
        <v>2034</v>
      </c>
      <c r="N255" s="20">
        <v>2035</v>
      </c>
      <c r="O255" s="20">
        <v>2036</v>
      </c>
      <c r="P255" s="20">
        <v>2037</v>
      </c>
      <c r="Q255" s="20">
        <v>2038</v>
      </c>
      <c r="R255" s="20">
        <v>2039</v>
      </c>
      <c r="S255" s="20">
        <v>2040</v>
      </c>
      <c r="T255" s="20">
        <v>2041</v>
      </c>
      <c r="U255" s="20">
        <v>2042</v>
      </c>
      <c r="V255" s="28">
        <v>2043</v>
      </c>
      <c r="W255" s="20">
        <v>2044</v>
      </c>
    </row>
    <row r="256" spans="1:26" x14ac:dyDescent="0.25">
      <c r="A256" s="20" t="s">
        <v>215</v>
      </c>
      <c r="B256" s="97">
        <v>0.05</v>
      </c>
      <c r="C256" s="94">
        <f>B240</f>
        <v>46907753.550848238</v>
      </c>
      <c r="D256" s="81">
        <f>C256*B256</f>
        <v>2345387.6775424122</v>
      </c>
      <c r="E256" s="81">
        <f>($C$256-SUM($D$256:D256))*$B$256</f>
        <v>2228118.2936652913</v>
      </c>
      <c r="F256" s="81">
        <f>($C$256-SUM($D$256:E256))*$B$256</f>
        <v>2116712.3789820271</v>
      </c>
      <c r="G256" s="81">
        <f>($C$256-SUM($D$256:F256))*$B$256</f>
        <v>2010876.7600329255</v>
      </c>
      <c r="H256" s="81">
        <f>($C$256-SUM($D$256:G256))*$B$256</f>
        <v>1910332.922031279</v>
      </c>
      <c r="I256" s="81">
        <f>($C$256-SUM($D$256:H256))*$B$256</f>
        <v>1814816.2759297153</v>
      </c>
      <c r="J256" s="81">
        <f>($C$256-SUM($D$256:I256))*$B$256</f>
        <v>1724075.4621332297</v>
      </c>
      <c r="K256" s="81">
        <f>($C$256-SUM($D$256:J256))*$B$256</f>
        <v>1637871.6890265681</v>
      </c>
      <c r="L256" s="81">
        <f>($C$256-SUM($D$256:K256))*$B$256</f>
        <v>1555978.1045752396</v>
      </c>
      <c r="M256" s="81">
        <f>($C$256-SUM($D$256:L256))*$B$256</f>
        <v>1478179.1993464776</v>
      </c>
      <c r="N256" s="81">
        <f>($C$256-SUM($D$256:M256))*$B$256</f>
        <v>1404270.2393791536</v>
      </c>
      <c r="O256" s="81">
        <f>($C$256-SUM($D$256:N256))*$B$256</f>
        <v>1334056.7274101961</v>
      </c>
      <c r="P256" s="81">
        <f>($C$256-SUM($D$256:O256))*$B$256</f>
        <v>1267353.8910396863</v>
      </c>
      <c r="Q256" s="81">
        <f>($C$256-SUM($D$256:P256))*$B$256</f>
        <v>1203986.1964877017</v>
      </c>
      <c r="R256" s="81">
        <f>($C$256-SUM($D$256:Q256))*$B$256</f>
        <v>1143786.8866633165</v>
      </c>
      <c r="S256" s="81">
        <f>($C$256-SUM($D$256:R256))*$B$256</f>
        <v>1086597.5423301507</v>
      </c>
      <c r="T256" s="81">
        <f>($C$256-SUM($D$256:S256))*$B$256</f>
        <v>1032267.6652136432</v>
      </c>
      <c r="U256" s="81">
        <f>($C$256-SUM($D$256:T256))*$B$256</f>
        <v>980654.281952961</v>
      </c>
      <c r="V256" s="81">
        <f>($C$256-SUM($D$256:U256))*$B$256</f>
        <v>931621.56785531295</v>
      </c>
      <c r="W256" s="81">
        <f>($C$256-SUM($D$256:V256))*$B$256</f>
        <v>885040.48946254724</v>
      </c>
      <c r="Y256" s="68"/>
      <c r="Z256" s="68"/>
    </row>
    <row r="257" spans="1:27" x14ac:dyDescent="0.25">
      <c r="A257" s="20" t="s">
        <v>205</v>
      </c>
      <c r="B257" s="97">
        <v>0.1</v>
      </c>
      <c r="C257" s="94">
        <f>B241</f>
        <v>137346183.93894008</v>
      </c>
      <c r="D257" s="81">
        <f>C257*B257</f>
        <v>13734618.393894009</v>
      </c>
      <c r="E257" s="81">
        <f>($C$257-SUM($D$257:D257))*$B$257</f>
        <v>12361156.554504607</v>
      </c>
      <c r="F257" s="81">
        <f>($C$257-SUM($D$257:E257))*$B$257</f>
        <v>11125040.899054147</v>
      </c>
      <c r="G257" s="81">
        <f>($C$257-SUM($D$257:F257))*$B$257</f>
        <v>10012536.809148733</v>
      </c>
      <c r="H257" s="81">
        <f>($C$257-SUM($D$257:G257))*$B$257</f>
        <v>9011283.1282338593</v>
      </c>
      <c r="I257" s="81">
        <f>($C$257-SUM($D$257:H257))*$B$257</f>
        <v>8110154.8154104743</v>
      </c>
      <c r="J257" s="81">
        <f>($C$257-SUM($D$257:I257))*$B$257</f>
        <v>7299139.3338694265</v>
      </c>
      <c r="K257" s="81">
        <f>($C$257-SUM($D$257:J257))*$B$257</f>
        <v>6569225.4004824832</v>
      </c>
      <c r="L257" s="81">
        <f>($C$257-SUM($D$257:K257))*$B$257</f>
        <v>5912302.8604342341</v>
      </c>
      <c r="M257" s="81">
        <f>($C$257-SUM($D$257:L257))*$B$257</f>
        <v>5321072.5743908109</v>
      </c>
      <c r="N257" s="81">
        <f>($C$257-SUM($D$257:M257))*$B$257</f>
        <v>4788965.3169517294</v>
      </c>
      <c r="O257" s="81">
        <f>($C$257-SUM($D$257:N257))*$B$257</f>
        <v>4310068.7852565562</v>
      </c>
      <c r="P257" s="81">
        <f>($C$257-SUM($D$257:O257))*$B$257</f>
        <v>3879061.906730901</v>
      </c>
      <c r="Q257" s="81">
        <f>($C$257-SUM($D$257:P257))*$B$257</f>
        <v>3491155.7160578105</v>
      </c>
      <c r="R257" s="81">
        <f>($C$257-SUM($D$257:Q257))*$B$257</f>
        <v>3142040.1444520298</v>
      </c>
      <c r="S257" s="81">
        <f>($C$257-SUM($D$257:R257))*$B$257</f>
        <v>2827836.130006826</v>
      </c>
      <c r="T257" s="81">
        <f>($C$257-SUM($D$257:S257))*$B$257</f>
        <v>2545052.5170061439</v>
      </c>
      <c r="U257" s="81">
        <f>($C$257-SUM($D$257:T257))*$B$257</f>
        <v>2290547.2653055298</v>
      </c>
      <c r="V257" s="81">
        <f>($C$257-SUM($D$257:U257))*$B$257</f>
        <v>2061492.5387749763</v>
      </c>
      <c r="W257" s="81">
        <f>($C$257-SUM($D$257:V257))*$B$257</f>
        <v>1855343.2848974781</v>
      </c>
      <c r="Y257" s="68"/>
      <c r="Z257" s="68"/>
    </row>
    <row r="258" spans="1:27" x14ac:dyDescent="0.25">
      <c r="A258" s="20" t="s">
        <v>206</v>
      </c>
      <c r="B258" s="97">
        <v>0.2</v>
      </c>
      <c r="C258" s="94">
        <f>B242</f>
        <v>5459150.8351292685</v>
      </c>
      <c r="D258" s="81">
        <f>C258*B258</f>
        <v>1091830.1670258536</v>
      </c>
      <c r="E258" s="81">
        <f>($C$258-SUM($D$258:D258))*$B$258</f>
        <v>873464.13362068299</v>
      </c>
      <c r="F258" s="81">
        <f>($C$258-SUM($D$258:E258))*$B$258</f>
        <v>698771.30689654639</v>
      </c>
      <c r="G258" s="81">
        <f>($C$258-SUM($D$258:F258))*$B$258</f>
        <v>559017.04551723716</v>
      </c>
      <c r="H258" s="81">
        <f>($C$258-SUM($D$258:G258))*$B$258</f>
        <v>447213.63641378976</v>
      </c>
      <c r="I258" s="81">
        <f>($C$258-SUM($D$258:H258))*$B$258</f>
        <v>357770.90913103177</v>
      </c>
      <c r="J258" s="81">
        <f>($C$258-SUM($D$258:I258))*$B$258</f>
        <v>286216.72730482538</v>
      </c>
      <c r="K258" s="81">
        <f>($C$258-SUM($D$258:J258))*$B$258</f>
        <v>228973.38184386026</v>
      </c>
      <c r="L258" s="81">
        <f>($C$258-SUM($D$258:K258))*$B$258</f>
        <v>183178.70547508821</v>
      </c>
      <c r="M258" s="81">
        <f>($C$258-SUM($D$258:L258))*$B$258</f>
        <v>146542.96438007057</v>
      </c>
      <c r="N258" s="81">
        <f>($C$258-SUM($D$258:M258))*$B$258</f>
        <v>117234.37150405646</v>
      </c>
      <c r="O258" s="81">
        <f>($C$258-SUM($D$258:N258))*$B$258</f>
        <v>93787.497203245206</v>
      </c>
      <c r="P258" s="81">
        <f>($C$258-SUM($D$258:O258))*$B$258</f>
        <v>75029.997762596235</v>
      </c>
      <c r="Q258" s="81">
        <f>($C$258-SUM($D$258:P258))*$B$258</f>
        <v>60023.998210076992</v>
      </c>
      <c r="R258" s="81">
        <f>($C$258-SUM($D$258:Q258))*$B$258</f>
        <v>48019.198568061554</v>
      </c>
      <c r="S258" s="81">
        <f>($C$258-SUM($D$258:R258))*$B$258</f>
        <v>38415.358854449172</v>
      </c>
      <c r="T258" s="81">
        <f>($C$258-SUM($D$258:S258))*$B$258</f>
        <v>30732.287083559298</v>
      </c>
      <c r="U258" s="81">
        <f>($C$258-SUM($D$258:T258))*$B$258</f>
        <v>24585.829666847363</v>
      </c>
      <c r="V258" s="81">
        <f>($C$258-SUM($D$258:U258))*$B$258</f>
        <v>19668.663733477893</v>
      </c>
      <c r="W258" s="81">
        <f>($C$258-SUM($D$258:V258))*$B$258</f>
        <v>15734.93098678235</v>
      </c>
      <c r="Y258" s="68"/>
      <c r="Z258" s="68"/>
    </row>
    <row r="259" spans="1:27" x14ac:dyDescent="0.25">
      <c r="A259" s="20" t="s">
        <v>216</v>
      </c>
      <c r="B259" s="94"/>
      <c r="C259" s="94">
        <f>SUM(C256:C258)</f>
        <v>189713088.32491758</v>
      </c>
      <c r="D259" s="81">
        <f>SUM(D256:D258)</f>
        <v>17171836.238462277</v>
      </c>
      <c r="E259" s="81">
        <f t="shared" ref="E259:F259" si="26">SUM(E256:E258)</f>
        <v>15462738.981790582</v>
      </c>
      <c r="F259" s="81">
        <f t="shared" si="26"/>
        <v>13940524.58493272</v>
      </c>
      <c r="G259" s="81">
        <f t="shared" ref="G259:W259" si="27">G256+G257+G258</f>
        <v>12582430.614698896</v>
      </c>
      <c r="H259" s="81">
        <f t="shared" si="27"/>
        <v>11368829.686678929</v>
      </c>
      <c r="I259" s="81">
        <f t="shared" si="27"/>
        <v>10282742.000471221</v>
      </c>
      <c r="J259" s="81">
        <f t="shared" si="27"/>
        <v>9309431.5233074818</v>
      </c>
      <c r="K259" s="81">
        <f t="shared" si="27"/>
        <v>8436070.4713529125</v>
      </c>
      <c r="L259" s="81">
        <f t="shared" si="27"/>
        <v>7651459.6704845615</v>
      </c>
      <c r="M259" s="81">
        <f t="shared" si="27"/>
        <v>6945794.7381173596</v>
      </c>
      <c r="N259" s="81">
        <f t="shared" si="27"/>
        <v>6310469.9278349392</v>
      </c>
      <c r="O259" s="81">
        <f t="shared" si="27"/>
        <v>5737913.0098699974</v>
      </c>
      <c r="P259" s="81">
        <f t="shared" si="27"/>
        <v>5221445.795533184</v>
      </c>
      <c r="Q259" s="81">
        <f t="shared" si="27"/>
        <v>4755165.9107555896</v>
      </c>
      <c r="R259" s="81">
        <f t="shared" si="27"/>
        <v>4333846.2296834085</v>
      </c>
      <c r="S259" s="81">
        <f t="shared" si="27"/>
        <v>3952849.0311914263</v>
      </c>
      <c r="T259" s="81">
        <f t="shared" si="27"/>
        <v>3608052.4693033462</v>
      </c>
      <c r="U259" s="81">
        <f t="shared" si="27"/>
        <v>3295787.3769253381</v>
      </c>
      <c r="V259" s="98">
        <f t="shared" si="27"/>
        <v>3012782.7703637667</v>
      </c>
      <c r="W259" s="81">
        <f t="shared" si="27"/>
        <v>2756118.7053468078</v>
      </c>
      <c r="Y259" s="68"/>
      <c r="Z259" s="68"/>
    </row>
    <row r="260" spans="1:27" x14ac:dyDescent="0.25">
      <c r="B260" s="95"/>
      <c r="C260" s="95"/>
      <c r="D260" s="68"/>
      <c r="E260" s="68"/>
      <c r="F260" s="68"/>
      <c r="G260" s="68"/>
      <c r="H260" s="68"/>
      <c r="I260" s="68"/>
      <c r="J260" s="68"/>
      <c r="K260" s="68"/>
      <c r="L260" s="68"/>
      <c r="M260" s="68"/>
      <c r="N260" s="68"/>
      <c r="O260" s="68"/>
      <c r="P260" s="68"/>
      <c r="Q260" s="68"/>
      <c r="R260" s="68"/>
      <c r="S260" s="68"/>
      <c r="T260" s="68"/>
      <c r="U260" s="68"/>
      <c r="V260" s="68"/>
      <c r="W260" s="68"/>
      <c r="Y260" s="68"/>
      <c r="Z260" s="68"/>
    </row>
    <row r="261" spans="1:27" x14ac:dyDescent="0.25">
      <c r="B261" s="95"/>
    </row>
    <row r="262" spans="1:27" x14ac:dyDescent="0.25">
      <c r="A262" s="87" t="s">
        <v>217</v>
      </c>
      <c r="B262" s="95"/>
    </row>
    <row r="263" spans="1:27" x14ac:dyDescent="0.25">
      <c r="A263" s="20"/>
      <c r="B263" s="20">
        <v>2025</v>
      </c>
      <c r="C263" s="20">
        <v>2026</v>
      </c>
      <c r="D263" s="20">
        <v>2027</v>
      </c>
      <c r="E263" s="20">
        <v>2028</v>
      </c>
      <c r="F263" s="20">
        <v>2029</v>
      </c>
      <c r="G263" s="20">
        <v>2030</v>
      </c>
      <c r="H263" s="20">
        <v>2031</v>
      </c>
      <c r="I263" s="20">
        <v>2032</v>
      </c>
      <c r="J263" s="20">
        <v>2033</v>
      </c>
      <c r="K263" s="20">
        <v>2034</v>
      </c>
      <c r="L263" s="20">
        <v>2035</v>
      </c>
      <c r="M263" s="20">
        <v>2036</v>
      </c>
      <c r="N263" s="20">
        <v>2037</v>
      </c>
      <c r="O263" s="20">
        <v>2038</v>
      </c>
      <c r="P263" s="20">
        <v>2039</v>
      </c>
      <c r="Q263" s="20">
        <v>2040</v>
      </c>
      <c r="R263" s="20">
        <v>2041</v>
      </c>
      <c r="S263" s="20">
        <v>2042</v>
      </c>
      <c r="T263" s="28">
        <v>2043</v>
      </c>
      <c r="U263" s="20">
        <v>2044</v>
      </c>
    </row>
    <row r="264" spans="1:27" ht="30" x14ac:dyDescent="0.25">
      <c r="A264" s="99" t="s">
        <v>218</v>
      </c>
      <c r="B264" s="81">
        <f>B252</f>
        <v>40522865.002565548</v>
      </c>
      <c r="C264" s="81">
        <f>B264</f>
        <v>40522865.002565548</v>
      </c>
      <c r="D264" s="81">
        <f t="shared" ref="D264:K264" si="28">C264</f>
        <v>40522865.002565548</v>
      </c>
      <c r="E264" s="81">
        <f t="shared" si="28"/>
        <v>40522865.002565548</v>
      </c>
      <c r="F264" s="81">
        <f t="shared" si="28"/>
        <v>40522865.002565548</v>
      </c>
      <c r="G264" s="81">
        <f t="shared" si="28"/>
        <v>40522865.002565548</v>
      </c>
      <c r="H264" s="81">
        <f t="shared" si="28"/>
        <v>40522865.002565548</v>
      </c>
      <c r="I264" s="81">
        <f t="shared" si="28"/>
        <v>40522865.002565548</v>
      </c>
      <c r="J264" s="81">
        <f t="shared" si="28"/>
        <v>40522865.002565548</v>
      </c>
      <c r="K264" s="81">
        <f t="shared" si="28"/>
        <v>40522865.002565548</v>
      </c>
      <c r="L264" s="81"/>
      <c r="M264" s="81"/>
      <c r="N264" s="81"/>
      <c r="O264" s="81"/>
      <c r="P264" s="81"/>
      <c r="Q264" s="81"/>
      <c r="R264" s="81"/>
      <c r="S264" s="81"/>
      <c r="T264" s="81"/>
      <c r="U264" s="81"/>
      <c r="V264" s="68">
        <f>SUM(B264:U264)</f>
        <v>405228650.02565557</v>
      </c>
      <c r="W264" s="68"/>
      <c r="X264" s="68"/>
      <c r="Y264" s="68"/>
      <c r="Z264" s="68"/>
    </row>
    <row r="265" spans="1:27" ht="30" x14ac:dyDescent="0.25">
      <c r="A265" s="99" t="s">
        <v>219</v>
      </c>
      <c r="B265" s="81">
        <f>(($B$249+(B263-$B$263))/100)*$B$264</f>
        <v>4052286.5002565552</v>
      </c>
      <c r="C265" s="81">
        <f>(($B$249+(C263-$B$263))/100)*$B$264</f>
        <v>4457515.1502822107</v>
      </c>
      <c r="D265" s="81">
        <f>(($B$249+(D263-$B$263))/100)*$B$264</f>
        <v>4862743.8003078653</v>
      </c>
      <c r="E265" s="81">
        <f>(($B$249+(E263-$B$263))/100)*$B$264</f>
        <v>5267972.4503335217</v>
      </c>
      <c r="F265" s="81">
        <f>(($B$249+(F263-$B$263))/100)*$B$264</f>
        <v>5673201.1003591772</v>
      </c>
      <c r="G265" s="81">
        <f t="shared" ref="G265:K265" si="29">(($B$249+(G263-$B$263))/100)*$B$264</f>
        <v>6078429.7503848318</v>
      </c>
      <c r="H265" s="81">
        <f t="shared" si="29"/>
        <v>6483658.4004104882</v>
      </c>
      <c r="I265" s="81">
        <f t="shared" si="29"/>
        <v>6888887.0504361438</v>
      </c>
      <c r="J265" s="81">
        <f t="shared" si="29"/>
        <v>7294115.7004617983</v>
      </c>
      <c r="K265" s="81">
        <f t="shared" si="29"/>
        <v>7699344.3504874539</v>
      </c>
      <c r="L265" s="81"/>
      <c r="M265" s="81"/>
      <c r="N265" s="81"/>
      <c r="O265" s="81"/>
      <c r="P265" s="81"/>
      <c r="Q265" s="81"/>
      <c r="R265" s="81"/>
      <c r="S265" s="81"/>
      <c r="T265" s="81"/>
      <c r="U265" s="81"/>
      <c r="V265" s="68">
        <f>SUM(B265:U265)</f>
        <v>58758154.253720045</v>
      </c>
      <c r="W265" s="68"/>
      <c r="X265" s="68"/>
      <c r="Y265" s="68"/>
      <c r="Z265" s="68"/>
      <c r="AA265" s="68"/>
    </row>
    <row r="266" spans="1:27" x14ac:dyDescent="0.25">
      <c r="A266" s="100"/>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row>
    <row r="267" spans="1:27" x14ac:dyDescent="0.25">
      <c r="B267" s="95"/>
    </row>
    <row r="268" spans="1:27" x14ac:dyDescent="0.25">
      <c r="A268" s="101" t="s">
        <v>220</v>
      </c>
      <c r="B268" s="95"/>
    </row>
    <row r="269" spans="1:27" x14ac:dyDescent="0.25">
      <c r="A269" s="20"/>
      <c r="B269" s="20">
        <v>2024</v>
      </c>
      <c r="C269" s="20">
        <v>2025</v>
      </c>
      <c r="D269" s="20">
        <v>2026</v>
      </c>
      <c r="E269" s="20">
        <v>2027</v>
      </c>
      <c r="F269" s="20">
        <v>2028</v>
      </c>
      <c r="G269" s="20">
        <v>2029</v>
      </c>
      <c r="H269" s="20">
        <v>2030</v>
      </c>
      <c r="I269" s="20">
        <v>2031</v>
      </c>
      <c r="J269" s="20">
        <v>2032</v>
      </c>
      <c r="K269" s="20">
        <v>2033</v>
      </c>
      <c r="L269" s="20">
        <v>2034</v>
      </c>
      <c r="M269" s="20">
        <v>2035</v>
      </c>
      <c r="N269" s="20">
        <v>2036</v>
      </c>
      <c r="O269" s="20">
        <v>2037</v>
      </c>
      <c r="P269" s="20">
        <v>2038</v>
      </c>
      <c r="Q269" s="20">
        <v>2039</v>
      </c>
      <c r="R269" s="20">
        <v>2040</v>
      </c>
      <c r="S269" s="20">
        <v>2041</v>
      </c>
      <c r="T269" s="20">
        <v>2042</v>
      </c>
      <c r="U269" s="20">
        <v>2043</v>
      </c>
      <c r="V269" s="20">
        <v>2044</v>
      </c>
    </row>
    <row r="270" spans="1:27" x14ac:dyDescent="0.25">
      <c r="A270" s="102" t="s">
        <v>196</v>
      </c>
      <c r="B270" s="103"/>
      <c r="C270" s="103"/>
      <c r="D270" s="103"/>
      <c r="E270" s="103"/>
      <c r="F270" s="103"/>
      <c r="G270" s="103"/>
      <c r="H270" s="103"/>
      <c r="I270" s="103"/>
      <c r="J270" s="103"/>
      <c r="K270" s="103"/>
      <c r="L270" s="103"/>
      <c r="M270" s="103"/>
      <c r="N270" s="103"/>
      <c r="O270" s="103"/>
      <c r="P270" s="103"/>
      <c r="Q270" s="103"/>
      <c r="R270" s="103"/>
      <c r="S270" s="103"/>
      <c r="T270" s="103"/>
      <c r="U270" s="103"/>
      <c r="V270" s="104"/>
    </row>
    <row r="271" spans="1:27" x14ac:dyDescent="0.25">
      <c r="A271" s="20" t="s">
        <v>221</v>
      </c>
      <c r="B271" s="94"/>
      <c r="C271" s="82">
        <f t="shared" ref="C271:V271" si="30">B225</f>
        <v>20984506.901692897</v>
      </c>
      <c r="D271" s="82">
        <f t="shared" si="30"/>
        <v>22033732.246777546</v>
      </c>
      <c r="E271" s="82">
        <f t="shared" si="30"/>
        <v>23135418.85911642</v>
      </c>
      <c r="F271" s="82">
        <f t="shared" si="30"/>
        <v>24292189.802072246</v>
      </c>
      <c r="G271" s="82">
        <f t="shared" si="30"/>
        <v>25506799.292175852</v>
      </c>
      <c r="H271" s="82">
        <f t="shared" si="30"/>
        <v>26782139.256784648</v>
      </c>
      <c r="I271" s="82">
        <f t="shared" si="30"/>
        <v>28121246.219623879</v>
      </c>
      <c r="J271" s="82">
        <f t="shared" si="30"/>
        <v>29527308.530605078</v>
      </c>
      <c r="K271" s="82">
        <f t="shared" si="30"/>
        <v>31003673.957135331</v>
      </c>
      <c r="L271" s="82">
        <f t="shared" si="30"/>
        <v>32553857.654992096</v>
      </c>
      <c r="M271" s="82">
        <f t="shared" si="30"/>
        <v>34181550.537741698</v>
      </c>
      <c r="N271" s="82">
        <f t="shared" si="30"/>
        <v>35890628.064628787</v>
      </c>
      <c r="O271" s="82">
        <f t="shared" si="30"/>
        <v>37685159.467860222</v>
      </c>
      <c r="P271" s="82">
        <f t="shared" si="30"/>
        <v>39569417.441253237</v>
      </c>
      <c r="Q271" s="82">
        <f t="shared" si="30"/>
        <v>41547888.313315891</v>
      </c>
      <c r="R271" s="82">
        <f t="shared" si="30"/>
        <v>43625282.728981704</v>
      </c>
      <c r="S271" s="82">
        <f t="shared" si="30"/>
        <v>45806546.86543078</v>
      </c>
      <c r="T271" s="82">
        <f t="shared" si="30"/>
        <v>48096874.208702326</v>
      </c>
      <c r="U271" s="82">
        <f t="shared" si="30"/>
        <v>50501717.919137441</v>
      </c>
      <c r="V271" s="82">
        <f t="shared" si="30"/>
        <v>53026803.815094322</v>
      </c>
    </row>
    <row r="272" spans="1:27" x14ac:dyDescent="0.25">
      <c r="A272" s="20" t="s">
        <v>195</v>
      </c>
      <c r="B272" s="94"/>
      <c r="C272" s="82">
        <f t="shared" ref="C272:V272" si="31">B226</f>
        <v>39483129.00881093</v>
      </c>
      <c r="D272" s="82">
        <f t="shared" si="31"/>
        <v>41457285.459251478</v>
      </c>
      <c r="E272" s="82">
        <f t="shared" si="31"/>
        <v>43530149.732214049</v>
      </c>
      <c r="F272" s="82">
        <f t="shared" si="31"/>
        <v>45706657.218824752</v>
      </c>
      <c r="G272" s="82">
        <f t="shared" si="31"/>
        <v>47991990.07976599</v>
      </c>
      <c r="H272" s="82">
        <f t="shared" si="31"/>
        <v>50391589.583754294</v>
      </c>
      <c r="I272" s="82">
        <f t="shared" si="31"/>
        <v>52911169.062941998</v>
      </c>
      <c r="J272" s="82">
        <f t="shared" si="31"/>
        <v>55556727.516089104</v>
      </c>
      <c r="K272" s="82">
        <f t="shared" si="31"/>
        <v>58334563.891893558</v>
      </c>
      <c r="L272" s="82">
        <f t="shared" si="31"/>
        <v>61251292.086488239</v>
      </c>
      <c r="M272" s="82">
        <f t="shared" si="31"/>
        <v>64313856.690812647</v>
      </c>
      <c r="N272" s="82">
        <f t="shared" si="31"/>
        <v>67529549.525353298</v>
      </c>
      <c r="O272" s="82">
        <f t="shared" si="31"/>
        <v>70906027.001620948</v>
      </c>
      <c r="P272" s="82">
        <f t="shared" si="31"/>
        <v>74451328.351702005</v>
      </c>
      <c r="Q272" s="82">
        <f t="shared" si="31"/>
        <v>78173894.76928708</v>
      </c>
      <c r="R272" s="82">
        <f t="shared" si="31"/>
        <v>82082589.507751465</v>
      </c>
      <c r="S272" s="82">
        <f t="shared" si="31"/>
        <v>86186718.983139023</v>
      </c>
      <c r="T272" s="82">
        <f t="shared" si="31"/>
        <v>90496054.932295993</v>
      </c>
      <c r="U272" s="82">
        <f t="shared" si="31"/>
        <v>95020857.678910792</v>
      </c>
      <c r="V272" s="82">
        <f t="shared" si="31"/>
        <v>99771900.562856331</v>
      </c>
    </row>
    <row r="273" spans="1:22" x14ac:dyDescent="0.25">
      <c r="A273" s="92" t="s">
        <v>222</v>
      </c>
      <c r="B273" s="94"/>
      <c r="C273" s="82">
        <f t="shared" ref="C273:V273" si="32">B227</f>
        <v>60467635.910503827</v>
      </c>
      <c r="D273" s="82">
        <f t="shared" si="32"/>
        <v>63491017.706029028</v>
      </c>
      <c r="E273" s="82">
        <f t="shared" si="32"/>
        <v>66665568.591330469</v>
      </c>
      <c r="F273" s="82">
        <f t="shared" si="32"/>
        <v>69998847.020897001</v>
      </c>
      <c r="G273" s="82">
        <f t="shared" si="32"/>
        <v>73498789.371941835</v>
      </c>
      <c r="H273" s="82">
        <f t="shared" si="32"/>
        <v>77173728.840538949</v>
      </c>
      <c r="I273" s="82">
        <f t="shared" si="32"/>
        <v>81032415.282565877</v>
      </c>
      <c r="J273" s="82">
        <f t="shared" si="32"/>
        <v>85084036.046694189</v>
      </c>
      <c r="K273" s="82">
        <f t="shared" si="32"/>
        <v>89338237.849028885</v>
      </c>
      <c r="L273" s="82">
        <f t="shared" si="32"/>
        <v>93805149.741480336</v>
      </c>
      <c r="M273" s="82">
        <f t="shared" si="32"/>
        <v>98495407.228554338</v>
      </c>
      <c r="N273" s="82">
        <f t="shared" si="32"/>
        <v>103420177.58998209</v>
      </c>
      <c r="O273" s="82">
        <f t="shared" si="32"/>
        <v>108591186.46948117</v>
      </c>
      <c r="P273" s="82">
        <f t="shared" si="32"/>
        <v>114020745.79295525</v>
      </c>
      <c r="Q273" s="82">
        <f t="shared" si="32"/>
        <v>119721783.08260298</v>
      </c>
      <c r="R273" s="82">
        <f t="shared" si="32"/>
        <v>125707872.23673317</v>
      </c>
      <c r="S273" s="82">
        <f t="shared" si="32"/>
        <v>131993265.84856981</v>
      </c>
      <c r="T273" s="82">
        <f t="shared" si="32"/>
        <v>138592929.1409983</v>
      </c>
      <c r="U273" s="82">
        <f t="shared" si="32"/>
        <v>145522575.59804824</v>
      </c>
      <c r="V273" s="82">
        <f t="shared" si="32"/>
        <v>152798704.37795067</v>
      </c>
    </row>
    <row r="274" spans="1:22" x14ac:dyDescent="0.25">
      <c r="A274" s="105" t="s">
        <v>223</v>
      </c>
      <c r="B274" s="106"/>
      <c r="C274" s="106"/>
      <c r="D274" s="106"/>
      <c r="E274" s="106"/>
      <c r="F274" s="106"/>
      <c r="G274" s="106"/>
      <c r="H274" s="106"/>
      <c r="I274" s="106"/>
      <c r="J274" s="106"/>
      <c r="K274" s="106"/>
      <c r="L274" s="106"/>
      <c r="M274" s="106"/>
      <c r="N274" s="106"/>
      <c r="O274" s="106"/>
      <c r="P274" s="106"/>
      <c r="Q274" s="106"/>
      <c r="R274" s="106"/>
      <c r="S274" s="106"/>
      <c r="T274" s="106"/>
      <c r="U274" s="106"/>
      <c r="V274" s="107"/>
    </row>
    <row r="275" spans="1:22" x14ac:dyDescent="0.25">
      <c r="A275" s="20" t="s">
        <v>224</v>
      </c>
      <c r="B275" s="94"/>
      <c r="C275" s="94">
        <f t="shared" ref="C275:V275" si="33">(($E$198*((1+$B$106)^(C269-$B$269))))</f>
        <v>2097808.815796711</v>
      </c>
      <c r="D275" s="94">
        <f t="shared" si="33"/>
        <v>2160743.0802706121</v>
      </c>
      <c r="E275" s="94">
        <f t="shared" si="33"/>
        <v>2225565.3726787306</v>
      </c>
      <c r="F275" s="94">
        <f t="shared" si="33"/>
        <v>2292332.3338590921</v>
      </c>
      <c r="G275" s="94">
        <f t="shared" si="33"/>
        <v>2361102.3038748647</v>
      </c>
      <c r="H275" s="94">
        <f t="shared" si="33"/>
        <v>2431935.3729911111</v>
      </c>
      <c r="I275" s="94">
        <f t="shared" si="33"/>
        <v>2504893.4341808446</v>
      </c>
      <c r="J275" s="94">
        <f t="shared" si="33"/>
        <v>2580040.2372062695</v>
      </c>
      <c r="K275" s="94">
        <f t="shared" si="33"/>
        <v>2657441.4443224575</v>
      </c>
      <c r="L275" s="94">
        <f t="shared" si="33"/>
        <v>2737164.6876521315</v>
      </c>
      <c r="M275" s="94">
        <f t="shared" si="33"/>
        <v>2819279.6282816953</v>
      </c>
      <c r="N275" s="94">
        <f t="shared" si="33"/>
        <v>2903858.0171301458</v>
      </c>
      <c r="O275" s="94">
        <f t="shared" si="33"/>
        <v>2990973.7576440503</v>
      </c>
      <c r="P275" s="94">
        <f t="shared" si="33"/>
        <v>3080702.9703733721</v>
      </c>
      <c r="Q275" s="94">
        <f t="shared" si="33"/>
        <v>3173124.0594845731</v>
      </c>
      <c r="R275" s="94">
        <f t="shared" si="33"/>
        <v>3268317.7812691098</v>
      </c>
      <c r="S275" s="94">
        <f t="shared" si="33"/>
        <v>3366367.3147071833</v>
      </c>
      <c r="T275" s="94">
        <f t="shared" si="33"/>
        <v>3467358.3341483986</v>
      </c>
      <c r="U275" s="94">
        <f t="shared" si="33"/>
        <v>3571379.0841728505</v>
      </c>
      <c r="V275" s="94">
        <f t="shared" si="33"/>
        <v>3678520.4566980358</v>
      </c>
    </row>
    <row r="276" spans="1:22" x14ac:dyDescent="0.25">
      <c r="A276" s="20" t="s">
        <v>225</v>
      </c>
      <c r="B276" s="94"/>
      <c r="C276" s="81">
        <f t="shared" ref="C276:V276" si="34">(($F$199*((1+$B$106)^(C269-$B$269))))</f>
        <v>3363568</v>
      </c>
      <c r="D276" s="81">
        <f t="shared" si="34"/>
        <v>3464475.04</v>
      </c>
      <c r="E276" s="81">
        <f t="shared" si="34"/>
        <v>3568409.2911999999</v>
      </c>
      <c r="F276" s="81">
        <f t="shared" si="34"/>
        <v>3675461.5699359998</v>
      </c>
      <c r="G276" s="81">
        <f t="shared" si="34"/>
        <v>3785725.4170340793</v>
      </c>
      <c r="H276" s="81">
        <f t="shared" si="34"/>
        <v>3899297.1795451022</v>
      </c>
      <c r="I276" s="81">
        <f t="shared" si="34"/>
        <v>4016276.0949314553</v>
      </c>
      <c r="J276" s="81">
        <f t="shared" si="34"/>
        <v>4136764.3777793986</v>
      </c>
      <c r="K276" s="81">
        <f t="shared" si="34"/>
        <v>4260867.3091127807</v>
      </c>
      <c r="L276" s="81">
        <f t="shared" si="34"/>
        <v>4388693.3283861643</v>
      </c>
      <c r="M276" s="81">
        <f t="shared" si="34"/>
        <v>4520354.1282377494</v>
      </c>
      <c r="N276" s="81">
        <f t="shared" si="34"/>
        <v>4655964.7520848811</v>
      </c>
      <c r="O276" s="81">
        <f t="shared" si="34"/>
        <v>4795643.6946474267</v>
      </c>
      <c r="P276" s="81">
        <f t="shared" si="34"/>
        <v>4939513.0054868506</v>
      </c>
      <c r="Q276" s="81">
        <f t="shared" si="34"/>
        <v>5087698.395651456</v>
      </c>
      <c r="R276" s="81">
        <f t="shared" si="34"/>
        <v>5240329.3475209987</v>
      </c>
      <c r="S276" s="81">
        <f t="shared" si="34"/>
        <v>5397539.2279466288</v>
      </c>
      <c r="T276" s="81">
        <f t="shared" si="34"/>
        <v>5559465.4047850277</v>
      </c>
      <c r="U276" s="81">
        <f t="shared" si="34"/>
        <v>5726249.3669285784</v>
      </c>
      <c r="V276" s="81">
        <f t="shared" si="34"/>
        <v>5898036.8479364356</v>
      </c>
    </row>
    <row r="277" spans="1:22" x14ac:dyDescent="0.25">
      <c r="A277" s="92" t="s">
        <v>226</v>
      </c>
      <c r="B277" s="94"/>
      <c r="C277" s="94">
        <f t="shared" ref="C277" si="35">SUM(C275:C276)</f>
        <v>5461376.8157967106</v>
      </c>
      <c r="D277" s="94">
        <f t="shared" ref="D277:V277" si="36">SUM(D275:D276)</f>
        <v>5625218.1202706117</v>
      </c>
      <c r="E277" s="94">
        <f t="shared" si="36"/>
        <v>5793974.6638787305</v>
      </c>
      <c r="F277" s="94">
        <f t="shared" si="36"/>
        <v>5967793.9037950914</v>
      </c>
      <c r="G277" s="94">
        <f t="shared" si="36"/>
        <v>6146827.7209089436</v>
      </c>
      <c r="H277" s="94">
        <f t="shared" si="36"/>
        <v>6331232.5525362138</v>
      </c>
      <c r="I277" s="94">
        <f t="shared" si="36"/>
        <v>6521169.5291122999</v>
      </c>
      <c r="J277" s="94">
        <f t="shared" si="36"/>
        <v>6716804.6149856681</v>
      </c>
      <c r="K277" s="94">
        <f t="shared" si="36"/>
        <v>6918308.7534352383</v>
      </c>
      <c r="L277" s="94">
        <f t="shared" si="36"/>
        <v>7125858.0160382958</v>
      </c>
      <c r="M277" s="94">
        <f t="shared" si="36"/>
        <v>7339633.7565194443</v>
      </c>
      <c r="N277" s="94">
        <f t="shared" si="36"/>
        <v>7559822.7692150269</v>
      </c>
      <c r="O277" s="94">
        <f t="shared" si="36"/>
        <v>7786617.4522914775</v>
      </c>
      <c r="P277" s="94">
        <f t="shared" si="36"/>
        <v>8020215.9758602232</v>
      </c>
      <c r="Q277" s="94">
        <f t="shared" si="36"/>
        <v>8260822.455136029</v>
      </c>
      <c r="R277" s="94">
        <f t="shared" si="36"/>
        <v>8508647.1287901085</v>
      </c>
      <c r="S277" s="94">
        <f t="shared" si="36"/>
        <v>8763906.5426538121</v>
      </c>
      <c r="T277" s="94">
        <f t="shared" si="36"/>
        <v>9026823.7389334254</v>
      </c>
      <c r="U277" s="94">
        <f t="shared" si="36"/>
        <v>9297628.4511014298</v>
      </c>
      <c r="V277" s="94">
        <f t="shared" si="36"/>
        <v>9576557.3046344705</v>
      </c>
    </row>
    <row r="278" spans="1:22" x14ac:dyDescent="0.25">
      <c r="A278" s="108"/>
      <c r="B278" s="106"/>
      <c r="C278" s="106"/>
      <c r="D278" s="106"/>
      <c r="E278" s="106"/>
      <c r="F278" s="106"/>
      <c r="G278" s="106"/>
      <c r="H278" s="106"/>
      <c r="I278" s="106"/>
      <c r="J278" s="106"/>
      <c r="K278" s="106"/>
      <c r="L278" s="106"/>
      <c r="M278" s="106"/>
      <c r="N278" s="106"/>
      <c r="O278" s="106"/>
      <c r="P278" s="106"/>
      <c r="Q278" s="106"/>
      <c r="R278" s="106"/>
      <c r="S278" s="106"/>
      <c r="T278" s="106"/>
      <c r="U278" s="106"/>
      <c r="V278" s="107"/>
    </row>
    <row r="279" spans="1:22" x14ac:dyDescent="0.25">
      <c r="A279" s="92" t="s">
        <v>227</v>
      </c>
      <c r="B279" s="94"/>
      <c r="C279" s="94">
        <f t="shared" ref="C279:V279" si="37">C273-C277</f>
        <v>55006259.094707116</v>
      </c>
      <c r="D279" s="94">
        <f t="shared" si="37"/>
        <v>57865799.585758418</v>
      </c>
      <c r="E279" s="94">
        <f t="shared" si="37"/>
        <v>60871593.927451737</v>
      </c>
      <c r="F279" s="94">
        <f t="shared" si="37"/>
        <v>64031053.117101908</v>
      </c>
      <c r="G279" s="94">
        <f t="shared" si="37"/>
        <v>67351961.651032895</v>
      </c>
      <c r="H279" s="94">
        <f t="shared" si="37"/>
        <v>70842496.288002729</v>
      </c>
      <c r="I279" s="94">
        <f t="shared" si="37"/>
        <v>74511245.753453583</v>
      </c>
      <c r="J279" s="94">
        <f t="shared" si="37"/>
        <v>78367231.431708515</v>
      </c>
      <c r="K279" s="94">
        <f>K273-K277</f>
        <v>82419929.095593646</v>
      </c>
      <c r="L279" s="94">
        <f t="shared" si="37"/>
        <v>86679291.725442037</v>
      </c>
      <c r="M279" s="94">
        <f t="shared" si="37"/>
        <v>91155773.472034901</v>
      </c>
      <c r="N279" s="94">
        <f t="shared" si="37"/>
        <v>95860354.82076706</v>
      </c>
      <c r="O279" s="94">
        <f t="shared" si="37"/>
        <v>100804569.0171897</v>
      </c>
      <c r="P279" s="94">
        <f>P273-P277</f>
        <v>106000529.81709503</v>
      </c>
      <c r="Q279" s="94">
        <f t="shared" si="37"/>
        <v>111460960.62746695</v>
      </c>
      <c r="R279" s="94">
        <f t="shared" si="37"/>
        <v>117199225.10794306</v>
      </c>
      <c r="S279" s="94">
        <f t="shared" si="37"/>
        <v>123229359.305916</v>
      </c>
      <c r="T279" s="94">
        <f t="shared" si="37"/>
        <v>129566105.40206487</v>
      </c>
      <c r="U279" s="94">
        <f t="shared" si="37"/>
        <v>136224947.14694682</v>
      </c>
      <c r="V279" s="94">
        <f t="shared" si="37"/>
        <v>143222147.07331619</v>
      </c>
    </row>
    <row r="280" spans="1:22" x14ac:dyDescent="0.25">
      <c r="A280" s="102" t="s">
        <v>228</v>
      </c>
      <c r="B280" s="103"/>
      <c r="C280" s="103"/>
      <c r="D280" s="103"/>
      <c r="E280" s="103"/>
      <c r="F280" s="103"/>
      <c r="G280" s="103"/>
      <c r="H280" s="103"/>
      <c r="I280" s="103"/>
      <c r="J280" s="103"/>
      <c r="K280" s="103"/>
      <c r="L280" s="103"/>
      <c r="M280" s="103"/>
      <c r="N280" s="103"/>
      <c r="O280" s="103"/>
      <c r="P280" s="103"/>
      <c r="Q280" s="103"/>
      <c r="R280" s="103"/>
      <c r="S280" s="103"/>
      <c r="T280" s="103"/>
      <c r="U280" s="103"/>
      <c r="V280" s="104"/>
    </row>
    <row r="281" spans="1:22" x14ac:dyDescent="0.25">
      <c r="A281" s="20" t="s">
        <v>229</v>
      </c>
      <c r="B281" s="94"/>
      <c r="C281" s="109">
        <f t="shared" ref="C281:V281" si="38">(($F$203*((1+$B$106)^(C269-$B$269))))</f>
        <v>5378984.5676662168</v>
      </c>
      <c r="D281" s="109">
        <f t="shared" si="38"/>
        <v>5540354.104696203</v>
      </c>
      <c r="E281" s="109">
        <f t="shared" si="38"/>
        <v>5706564.7278370894</v>
      </c>
      <c r="F281" s="109">
        <f t="shared" si="38"/>
        <v>5877761.6696722014</v>
      </c>
      <c r="G281" s="109">
        <f t="shared" si="38"/>
        <v>6054094.519762367</v>
      </c>
      <c r="H281" s="109">
        <f t="shared" si="38"/>
        <v>6235717.3553552385</v>
      </c>
      <c r="I281" s="109">
        <f t="shared" si="38"/>
        <v>6422788.876015896</v>
      </c>
      <c r="J281" s="109">
        <f t="shared" si="38"/>
        <v>6615472.5422963724</v>
      </c>
      <c r="K281" s="109">
        <f t="shared" si="38"/>
        <v>6813936.7185652638</v>
      </c>
      <c r="L281" s="109">
        <f t="shared" si="38"/>
        <v>7018354.8201222215</v>
      </c>
      <c r="M281" s="109">
        <f t="shared" si="38"/>
        <v>7228905.4647258883</v>
      </c>
      <c r="N281" s="109">
        <f t="shared" si="38"/>
        <v>7445772.6286676638</v>
      </c>
      <c r="O281" s="109">
        <f t="shared" si="38"/>
        <v>7669145.8075276939</v>
      </c>
      <c r="P281" s="109">
        <f t="shared" si="38"/>
        <v>7899220.1817535255</v>
      </c>
      <c r="Q281" s="109">
        <f t="shared" si="38"/>
        <v>8136196.787206132</v>
      </c>
      <c r="R281" s="109">
        <f t="shared" si="38"/>
        <v>8380282.6908223135</v>
      </c>
      <c r="S281" s="109">
        <f t="shared" si="38"/>
        <v>8631691.1715469826</v>
      </c>
      <c r="T281" s="109">
        <f t="shared" si="38"/>
        <v>8890641.9066933934</v>
      </c>
      <c r="U281" s="109">
        <f t="shared" si="38"/>
        <v>9157361.1638941951</v>
      </c>
      <c r="V281" s="109">
        <f t="shared" si="38"/>
        <v>9432081.9988110196</v>
      </c>
    </row>
    <row r="282" spans="1:22" x14ac:dyDescent="0.25">
      <c r="A282" s="20" t="s">
        <v>230</v>
      </c>
      <c r="B282" s="94"/>
      <c r="C282" s="109">
        <f t="shared" ref="C282:V282" si="39">(($F$207*((1+$B$106)^(C269-$B$269))))</f>
        <v>2631479.9676000006</v>
      </c>
      <c r="D282" s="109">
        <f t="shared" si="39"/>
        <v>2710424.3666280005</v>
      </c>
      <c r="E282" s="109">
        <f t="shared" si="39"/>
        <v>2791737.0976268402</v>
      </c>
      <c r="F282" s="109">
        <f t="shared" si="39"/>
        <v>2875489.2105556456</v>
      </c>
      <c r="G282" s="109">
        <f t="shared" si="39"/>
        <v>2961753.8868723148</v>
      </c>
      <c r="H282" s="109">
        <f t="shared" si="39"/>
        <v>3050606.5034784842</v>
      </c>
      <c r="I282" s="109">
        <f t="shared" si="39"/>
        <v>3142124.6985828388</v>
      </c>
      <c r="J282" s="109">
        <f t="shared" si="39"/>
        <v>3236388.4395403238</v>
      </c>
      <c r="K282" s="109">
        <f t="shared" si="39"/>
        <v>3333480.0927265338</v>
      </c>
      <c r="L282" s="109">
        <f t="shared" si="39"/>
        <v>3433484.4955083295</v>
      </c>
      <c r="M282" s="109">
        <f t="shared" si="39"/>
        <v>3536489.0303735794</v>
      </c>
      <c r="N282" s="109">
        <f t="shared" si="39"/>
        <v>3642583.7012847862</v>
      </c>
      <c r="O282" s="109">
        <f t="shared" si="39"/>
        <v>3751861.2123233299</v>
      </c>
      <c r="P282" s="109">
        <f t="shared" si="39"/>
        <v>3864417.0486930301</v>
      </c>
      <c r="Q282" s="109">
        <f t="shared" si="39"/>
        <v>3980349.5601538215</v>
      </c>
      <c r="R282" s="109">
        <f t="shared" si="39"/>
        <v>4099760.0469584353</v>
      </c>
      <c r="S282" s="109">
        <f t="shared" si="39"/>
        <v>4222752.8483671881</v>
      </c>
      <c r="T282" s="109">
        <f t="shared" si="39"/>
        <v>4349435.4338182043</v>
      </c>
      <c r="U282" s="109">
        <f t="shared" si="39"/>
        <v>4479918.4968327498</v>
      </c>
      <c r="V282" s="109">
        <f t="shared" si="39"/>
        <v>4614316.0517377323</v>
      </c>
    </row>
    <row r="283" spans="1:22" x14ac:dyDescent="0.25">
      <c r="A283" s="20" t="s">
        <v>231</v>
      </c>
      <c r="B283" s="94"/>
      <c r="C283" s="109">
        <f t="shared" ref="C283:V283" si="40">(($E$183*((1+$B$106)^(C269-$B$269))))</f>
        <v>3107774.8876046264</v>
      </c>
      <c r="D283" s="109">
        <f t="shared" si="40"/>
        <v>3201008.1342327651</v>
      </c>
      <c r="E283" s="109">
        <f t="shared" si="40"/>
        <v>3297038.3782597482</v>
      </c>
      <c r="F283" s="109">
        <f t="shared" si="40"/>
        <v>3395949.5296075405</v>
      </c>
      <c r="G283" s="109">
        <f t="shared" si="40"/>
        <v>3497828.0154957664</v>
      </c>
      <c r="H283" s="109">
        <f t="shared" si="40"/>
        <v>3602762.8559606397</v>
      </c>
      <c r="I283" s="109">
        <f t="shared" si="40"/>
        <v>3710845.741639459</v>
      </c>
      <c r="J283" s="109">
        <f t="shared" si="40"/>
        <v>3822171.1138886423</v>
      </c>
      <c r="K283" s="109">
        <f t="shared" si="40"/>
        <v>3936836.2473053019</v>
      </c>
      <c r="L283" s="109">
        <f t="shared" si="40"/>
        <v>4054941.3347244607</v>
      </c>
      <c r="M283" s="109">
        <f t="shared" si="40"/>
        <v>4176589.5747661949</v>
      </c>
      <c r="N283" s="109">
        <f t="shared" si="40"/>
        <v>4301887.2620091802</v>
      </c>
      <c r="O283" s="109">
        <f t="shared" si="40"/>
        <v>4430943.8798694555</v>
      </c>
      <c r="P283" s="109">
        <f t="shared" si="40"/>
        <v>4563872.1962655392</v>
      </c>
      <c r="Q283" s="109">
        <f t="shared" si="40"/>
        <v>4700788.3621535059</v>
      </c>
      <c r="R283" s="109">
        <f t="shared" si="40"/>
        <v>4841812.0130181098</v>
      </c>
      <c r="S283" s="109">
        <f t="shared" si="40"/>
        <v>4987066.3734086538</v>
      </c>
      <c r="T283" s="109">
        <f t="shared" si="40"/>
        <v>5136678.3646109132</v>
      </c>
      <c r="U283" s="109">
        <f t="shared" si="40"/>
        <v>5290778.7155492399</v>
      </c>
      <c r="V283" s="109">
        <f t="shared" si="40"/>
        <v>5449502.0770157175</v>
      </c>
    </row>
    <row r="284" spans="1:22" x14ac:dyDescent="0.25">
      <c r="A284" s="20" t="s">
        <v>232</v>
      </c>
      <c r="B284" s="94"/>
      <c r="C284" s="109">
        <f t="shared" ref="C284:V284" si="41">(($F$212*((1+$B$106)^(C269-$B$269))))</f>
        <v>699269.60526557022</v>
      </c>
      <c r="D284" s="109">
        <f t="shared" si="41"/>
        <v>720247.6934235373</v>
      </c>
      <c r="E284" s="109">
        <f t="shared" si="41"/>
        <v>741855.12422624347</v>
      </c>
      <c r="F284" s="109">
        <f t="shared" si="41"/>
        <v>764110.77795303066</v>
      </c>
      <c r="G284" s="109">
        <f t="shared" si="41"/>
        <v>787034.10129162157</v>
      </c>
      <c r="H284" s="109">
        <f t="shared" si="41"/>
        <v>810645.12433037034</v>
      </c>
      <c r="I284" s="109">
        <f t="shared" si="41"/>
        <v>834964.47806028149</v>
      </c>
      <c r="J284" s="109">
        <f t="shared" si="41"/>
        <v>860013.4124020898</v>
      </c>
      <c r="K284" s="109">
        <f t="shared" si="41"/>
        <v>885813.81477415247</v>
      </c>
      <c r="L284" s="109">
        <f t="shared" si="41"/>
        <v>912388.22921737703</v>
      </c>
      <c r="M284" s="109">
        <f t="shared" si="41"/>
        <v>939759.87609389843</v>
      </c>
      <c r="N284" s="109">
        <f t="shared" si="41"/>
        <v>967952.67237671523</v>
      </c>
      <c r="O284" s="109">
        <f t="shared" si="41"/>
        <v>996991.25254801661</v>
      </c>
      <c r="P284" s="109">
        <f t="shared" si="41"/>
        <v>1026900.9901244573</v>
      </c>
      <c r="Q284" s="109">
        <f t="shared" si="41"/>
        <v>1057708.019828191</v>
      </c>
      <c r="R284" s="109">
        <f t="shared" si="41"/>
        <v>1089439.2604230365</v>
      </c>
      <c r="S284" s="109">
        <f t="shared" si="41"/>
        <v>1122122.4382357276</v>
      </c>
      <c r="T284" s="109">
        <f t="shared" si="41"/>
        <v>1155786.1113827995</v>
      </c>
      <c r="U284" s="109">
        <f t="shared" si="41"/>
        <v>1190459.6947242834</v>
      </c>
      <c r="V284" s="109">
        <f t="shared" si="41"/>
        <v>1226173.4855660119</v>
      </c>
    </row>
    <row r="285" spans="1:22" x14ac:dyDescent="0.25">
      <c r="A285" s="20" t="s">
        <v>233</v>
      </c>
      <c r="B285" s="94"/>
      <c r="C285" s="109">
        <f t="shared" ref="C285:V285" si="42">(($E$175*((1+$B$106)^(C269-$B$269))))</f>
        <v>671298.82105494745</v>
      </c>
      <c r="D285" s="109">
        <f t="shared" si="42"/>
        <v>691437.78568659583</v>
      </c>
      <c r="E285" s="109">
        <f t="shared" si="42"/>
        <v>712180.9192571938</v>
      </c>
      <c r="F285" s="109">
        <f t="shared" si="42"/>
        <v>733546.34683490952</v>
      </c>
      <c r="G285" s="109">
        <f t="shared" si="42"/>
        <v>755552.73723995674</v>
      </c>
      <c r="H285" s="109">
        <f t="shared" si="42"/>
        <v>778219.31935715559</v>
      </c>
      <c r="I285" s="109">
        <f t="shared" si="42"/>
        <v>801565.89893787028</v>
      </c>
      <c r="J285" s="109">
        <f t="shared" si="42"/>
        <v>825612.87590600632</v>
      </c>
      <c r="K285" s="109">
        <f t="shared" si="42"/>
        <v>850381.26218318648</v>
      </c>
      <c r="L285" s="109">
        <f t="shared" si="42"/>
        <v>875892.70004868205</v>
      </c>
      <c r="M285" s="109">
        <f t="shared" si="42"/>
        <v>902169.48105014255</v>
      </c>
      <c r="N285" s="109">
        <f t="shared" si="42"/>
        <v>929234.56548164668</v>
      </c>
      <c r="O285" s="109">
        <f t="shared" si="42"/>
        <v>957111.60244609602</v>
      </c>
      <c r="P285" s="109">
        <f t="shared" si="42"/>
        <v>985824.950519479</v>
      </c>
      <c r="Q285" s="109">
        <f t="shared" si="42"/>
        <v>1015399.6990350635</v>
      </c>
      <c r="R285" s="109">
        <f t="shared" si="42"/>
        <v>1045861.6900061152</v>
      </c>
      <c r="S285" s="109">
        <f t="shared" si="42"/>
        <v>1077237.5407062985</v>
      </c>
      <c r="T285" s="109">
        <f t="shared" si="42"/>
        <v>1109554.6669274876</v>
      </c>
      <c r="U285" s="109">
        <f t="shared" si="42"/>
        <v>1142841.3069353122</v>
      </c>
      <c r="V285" s="109">
        <f t="shared" si="42"/>
        <v>1177126.5461433716</v>
      </c>
    </row>
    <row r="286" spans="1:22" x14ac:dyDescent="0.25">
      <c r="A286" s="20" t="s">
        <v>234</v>
      </c>
      <c r="B286" s="94">
        <f>B243</f>
        <v>14534989.098531676</v>
      </c>
      <c r="C286" s="94">
        <f>B285</f>
        <v>0</v>
      </c>
      <c r="D286" s="94">
        <f>C286</f>
        <v>0</v>
      </c>
      <c r="E286" s="94">
        <f t="shared" ref="E286:V286" si="43">D286</f>
        <v>0</v>
      </c>
      <c r="F286" s="94">
        <f t="shared" si="43"/>
        <v>0</v>
      </c>
      <c r="G286" s="94">
        <f t="shared" si="43"/>
        <v>0</v>
      </c>
      <c r="H286" s="94">
        <f t="shared" si="43"/>
        <v>0</v>
      </c>
      <c r="I286" s="94">
        <f>H286</f>
        <v>0</v>
      </c>
      <c r="J286" s="94">
        <f t="shared" si="43"/>
        <v>0</v>
      </c>
      <c r="K286" s="94">
        <f t="shared" si="43"/>
        <v>0</v>
      </c>
      <c r="L286" s="94">
        <f t="shared" si="43"/>
        <v>0</v>
      </c>
      <c r="M286" s="94">
        <f t="shared" si="43"/>
        <v>0</v>
      </c>
      <c r="N286" s="94">
        <f>M286</f>
        <v>0</v>
      </c>
      <c r="O286" s="94">
        <f t="shared" si="43"/>
        <v>0</v>
      </c>
      <c r="P286" s="94">
        <f t="shared" si="43"/>
        <v>0</v>
      </c>
      <c r="Q286" s="94">
        <f t="shared" si="43"/>
        <v>0</v>
      </c>
      <c r="R286" s="94">
        <f t="shared" si="43"/>
        <v>0</v>
      </c>
      <c r="S286" s="94">
        <f>R286</f>
        <v>0</v>
      </c>
      <c r="T286" s="94">
        <f t="shared" si="43"/>
        <v>0</v>
      </c>
      <c r="U286" s="94">
        <f t="shared" si="43"/>
        <v>0</v>
      </c>
      <c r="V286" s="94">
        <f t="shared" si="43"/>
        <v>0</v>
      </c>
    </row>
    <row r="287" spans="1:22" x14ac:dyDescent="0.25">
      <c r="A287" s="110" t="s">
        <v>235</v>
      </c>
      <c r="B287" s="111">
        <f>SUM(B281:B286)</f>
        <v>14534989.098531676</v>
      </c>
      <c r="C287" s="111">
        <f>SUM(C281:C286)</f>
        <v>12488807.84919136</v>
      </c>
      <c r="D287" s="111">
        <f t="shared" ref="D287:K287" si="44">SUM(D281:D286)</f>
        <v>12863472.084667102</v>
      </c>
      <c r="E287" s="111">
        <f t="shared" si="44"/>
        <v>13249376.247207116</v>
      </c>
      <c r="F287" s="111">
        <f t="shared" si="44"/>
        <v>13646857.534623327</v>
      </c>
      <c r="G287" s="111">
        <f t="shared" si="44"/>
        <v>14056263.260662025</v>
      </c>
      <c r="H287" s="111">
        <f t="shared" si="44"/>
        <v>14477951.158481887</v>
      </c>
      <c r="I287" s="111">
        <f t="shared" si="44"/>
        <v>14912289.693236345</v>
      </c>
      <c r="J287" s="111">
        <f t="shared" si="44"/>
        <v>15359658.384033432</v>
      </c>
      <c r="K287" s="111">
        <f t="shared" si="44"/>
        <v>15820448.135554437</v>
      </c>
      <c r="L287" s="111">
        <f>SUM(L281:L286)</f>
        <v>16295061.579621069</v>
      </c>
      <c r="M287" s="111">
        <f t="shared" ref="M287:O287" si="45">SUM(M281:M286)</f>
        <v>16783913.427009702</v>
      </c>
      <c r="N287" s="111">
        <f t="shared" si="45"/>
        <v>17287430.829819992</v>
      </c>
      <c r="O287" s="111">
        <f t="shared" si="45"/>
        <v>17806053.754714593</v>
      </c>
      <c r="P287" s="111">
        <f>SUM(P281:P286)</f>
        <v>18340235.367356032</v>
      </c>
      <c r="Q287" s="111">
        <f t="shared" ref="Q287:V287" si="46">SUM(Q281:Q286)</f>
        <v>18890442.428376712</v>
      </c>
      <c r="R287" s="111">
        <f t="shared" si="46"/>
        <v>19457155.701228011</v>
      </c>
      <c r="S287" s="111">
        <f t="shared" si="46"/>
        <v>20040870.372264851</v>
      </c>
      <c r="T287" s="111">
        <f t="shared" si="46"/>
        <v>20642096.4834328</v>
      </c>
      <c r="U287" s="111">
        <f t="shared" si="46"/>
        <v>21261359.377935782</v>
      </c>
      <c r="V287" s="111">
        <f t="shared" si="46"/>
        <v>21899200.159273852</v>
      </c>
    </row>
    <row r="288" spans="1:22" x14ac:dyDescent="0.25">
      <c r="A288" s="20"/>
      <c r="B288" s="94"/>
      <c r="C288" s="20"/>
      <c r="D288" s="20"/>
      <c r="E288" s="20"/>
      <c r="F288" s="20"/>
      <c r="G288" s="20"/>
      <c r="H288" s="20"/>
      <c r="I288" s="20"/>
      <c r="J288" s="20"/>
      <c r="K288" s="20"/>
      <c r="L288" s="20"/>
      <c r="M288" s="20"/>
      <c r="N288" s="20"/>
      <c r="O288" s="20"/>
      <c r="P288" s="20"/>
      <c r="Q288" s="20"/>
      <c r="R288" s="20"/>
      <c r="S288" s="20"/>
      <c r="T288" s="20"/>
      <c r="U288" s="20"/>
      <c r="V288" s="20"/>
    </row>
    <row r="289" spans="1:24" x14ac:dyDescent="0.25">
      <c r="A289" s="110" t="s">
        <v>236</v>
      </c>
      <c r="B289" s="112">
        <f>B279-B287</f>
        <v>-14534989.098531676</v>
      </c>
      <c r="C289" s="111">
        <f>C279-C287</f>
        <v>42517451.245515756</v>
      </c>
      <c r="D289" s="111">
        <f t="shared" ref="D289:V289" si="47">D279-D287</f>
        <v>45002327.501091316</v>
      </c>
      <c r="E289" s="111">
        <f t="shared" si="47"/>
        <v>47622217.680244625</v>
      </c>
      <c r="F289" s="111">
        <f t="shared" si="47"/>
        <v>50384195.582478583</v>
      </c>
      <c r="G289" s="111">
        <f t="shared" si="47"/>
        <v>53295698.390370868</v>
      </c>
      <c r="H289" s="111">
        <f t="shared" si="47"/>
        <v>56364545.129520841</v>
      </c>
      <c r="I289" s="111">
        <f t="shared" si="47"/>
        <v>59598956.060217239</v>
      </c>
      <c r="J289" s="111">
        <f t="shared" si="47"/>
        <v>63007573.047675081</v>
      </c>
      <c r="K289" s="111">
        <f t="shared" si="47"/>
        <v>66599480.960039213</v>
      </c>
      <c r="L289" s="111">
        <f t="shared" si="47"/>
        <v>70384230.145820975</v>
      </c>
      <c r="M289" s="111">
        <f t="shared" si="47"/>
        <v>74371860.0450252</v>
      </c>
      <c r="N289" s="111">
        <f t="shared" si="47"/>
        <v>78572923.990947068</v>
      </c>
      <c r="O289" s="111">
        <f t="shared" si="47"/>
        <v>82998515.262475103</v>
      </c>
      <c r="P289" s="111">
        <f t="shared" si="47"/>
        <v>87660294.449738994</v>
      </c>
      <c r="Q289" s="111">
        <f t="shared" si="47"/>
        <v>92570518.199090242</v>
      </c>
      <c r="R289" s="111">
        <f t="shared" si="47"/>
        <v>97742069.40671505</v>
      </c>
      <c r="S289" s="111">
        <f t="shared" si="47"/>
        <v>103188488.93365115</v>
      </c>
      <c r="T289" s="111">
        <f t="shared" si="47"/>
        <v>108924008.91863208</v>
      </c>
      <c r="U289" s="111">
        <f t="shared" si="47"/>
        <v>114963587.76901104</v>
      </c>
      <c r="V289" s="111">
        <f t="shared" si="47"/>
        <v>121322946.91404234</v>
      </c>
    </row>
    <row r="290" spans="1:24" x14ac:dyDescent="0.25">
      <c r="A290" s="20" t="s">
        <v>237</v>
      </c>
      <c r="B290" s="113">
        <f>0%</f>
        <v>0</v>
      </c>
      <c r="C290" s="113">
        <f>C289/C273</f>
        <v>0.70314393154785226</v>
      </c>
      <c r="D290" s="113">
        <f>D289/D273</f>
        <v>0.70879833285170279</v>
      </c>
      <c r="E290" s="113">
        <f t="shared" ref="E290:V290" si="48">E289/E273</f>
        <v>0.71434503127357507</v>
      </c>
      <c r="F290" s="113">
        <f t="shared" si="48"/>
        <v>0.71978607829693553</v>
      </c>
      <c r="G290" s="113">
        <f t="shared" si="48"/>
        <v>0.72512348632937484</v>
      </c>
      <c r="H290" s="113">
        <f t="shared" si="48"/>
        <v>0.73035922944691056</v>
      </c>
      <c r="I290" s="113">
        <f t="shared" si="48"/>
        <v>0.73549524412411227</v>
      </c>
      <c r="J290" s="113">
        <f t="shared" si="48"/>
        <v>0.74053342995031957</v>
      </c>
      <c r="K290" s="113">
        <f t="shared" si="48"/>
        <v>0.74547565033221841</v>
      </c>
      <c r="L290" s="113">
        <f t="shared" si="48"/>
        <v>0.75032373318303325</v>
      </c>
      <c r="M290" s="113">
        <f t="shared" si="48"/>
        <v>0.75507947159859456</v>
      </c>
      <c r="N290" s="113">
        <f t="shared" si="48"/>
        <v>0.75974462452052605</v>
      </c>
      <c r="O290" s="113">
        <f t="shared" si="48"/>
        <v>0.76432091738680175</v>
      </c>
      <c r="P290" s="113">
        <f t="shared" si="48"/>
        <v>0.76881004276991027</v>
      </c>
      <c r="Q290" s="113">
        <f t="shared" si="48"/>
        <v>0.77321366100286437</v>
      </c>
      <c r="R290" s="113">
        <f t="shared" si="48"/>
        <v>0.77753340079328603</v>
      </c>
      <c r="S290" s="113">
        <f t="shared" si="48"/>
        <v>0.78177085982579486</v>
      </c>
      <c r="T290" s="113">
        <f t="shared" si="48"/>
        <v>0.78592760535292261</v>
      </c>
      <c r="U290" s="113">
        <f t="shared" si="48"/>
        <v>0.79000517477477172</v>
      </c>
      <c r="V290" s="113">
        <f t="shared" si="48"/>
        <v>0.79400507620763316</v>
      </c>
    </row>
    <row r="291" spans="1:24" x14ac:dyDescent="0.25">
      <c r="A291" s="110" t="s">
        <v>87</v>
      </c>
      <c r="B291" s="114"/>
      <c r="C291" s="115">
        <f>D259</f>
        <v>17171836.238462277</v>
      </c>
      <c r="D291" s="115">
        <f>E259</f>
        <v>15462738.981790582</v>
      </c>
      <c r="E291" s="115">
        <f t="shared" ref="E291:V291" si="49">F259</f>
        <v>13940524.58493272</v>
      </c>
      <c r="F291" s="115">
        <f t="shared" si="49"/>
        <v>12582430.614698896</v>
      </c>
      <c r="G291" s="115">
        <f t="shared" si="49"/>
        <v>11368829.686678929</v>
      </c>
      <c r="H291" s="115">
        <f t="shared" si="49"/>
        <v>10282742.000471221</v>
      </c>
      <c r="I291" s="115">
        <f t="shared" si="49"/>
        <v>9309431.5233074818</v>
      </c>
      <c r="J291" s="115">
        <f t="shared" si="49"/>
        <v>8436070.4713529125</v>
      </c>
      <c r="K291" s="115">
        <f t="shared" si="49"/>
        <v>7651459.6704845615</v>
      </c>
      <c r="L291" s="115">
        <f t="shared" si="49"/>
        <v>6945794.7381173596</v>
      </c>
      <c r="M291" s="115">
        <f t="shared" si="49"/>
        <v>6310469.9278349392</v>
      </c>
      <c r="N291" s="115">
        <f t="shared" si="49"/>
        <v>5737913.0098699974</v>
      </c>
      <c r="O291" s="115">
        <f t="shared" si="49"/>
        <v>5221445.795533184</v>
      </c>
      <c r="P291" s="115">
        <f t="shared" si="49"/>
        <v>4755165.9107555896</v>
      </c>
      <c r="Q291" s="115">
        <f t="shared" si="49"/>
        <v>4333846.2296834085</v>
      </c>
      <c r="R291" s="115">
        <f t="shared" si="49"/>
        <v>3952849.0311914263</v>
      </c>
      <c r="S291" s="115">
        <f t="shared" si="49"/>
        <v>3608052.4693033462</v>
      </c>
      <c r="T291" s="115">
        <f t="shared" si="49"/>
        <v>3295787.3769253381</v>
      </c>
      <c r="U291" s="115">
        <f t="shared" si="49"/>
        <v>3012782.7703637667</v>
      </c>
      <c r="V291" s="115">
        <f t="shared" si="49"/>
        <v>2756118.7053468078</v>
      </c>
    </row>
    <row r="292" spans="1:24" x14ac:dyDescent="0.25">
      <c r="A292" s="92" t="s">
        <v>238</v>
      </c>
      <c r="B292" s="116">
        <f>B289-B291</f>
        <v>-14534989.098531676</v>
      </c>
      <c r="C292" s="94">
        <f t="shared" ref="C292:F292" si="50">C289-C291</f>
        <v>25345615.00705348</v>
      </c>
      <c r="D292" s="94">
        <f t="shared" si="50"/>
        <v>29539588.519300736</v>
      </c>
      <c r="E292" s="94">
        <f t="shared" si="50"/>
        <v>33681693.095311902</v>
      </c>
      <c r="F292" s="94">
        <f t="shared" si="50"/>
        <v>37801764.967779689</v>
      </c>
      <c r="G292" s="94">
        <f>G289-G291</f>
        <v>41926868.703691937</v>
      </c>
      <c r="H292" s="94">
        <f t="shared" ref="H292:V292" si="51">H289-H291</f>
        <v>46081803.129049622</v>
      </c>
      <c r="I292" s="94">
        <f t="shared" si="51"/>
        <v>50289524.536909759</v>
      </c>
      <c r="J292" s="94">
        <f t="shared" si="51"/>
        <v>54571502.576322168</v>
      </c>
      <c r="K292" s="94">
        <f t="shared" si="51"/>
        <v>58948021.289554656</v>
      </c>
      <c r="L292" s="94">
        <f t="shared" si="51"/>
        <v>63438435.407703616</v>
      </c>
      <c r="M292" s="94">
        <f t="shared" si="51"/>
        <v>68061390.117190257</v>
      </c>
      <c r="N292" s="94">
        <f t="shared" si="51"/>
        <v>72835010.981077075</v>
      </c>
      <c r="O292" s="94">
        <f t="shared" si="51"/>
        <v>77777069.466941923</v>
      </c>
      <c r="P292" s="94">
        <f t="shared" si="51"/>
        <v>82905128.538983405</v>
      </c>
      <c r="Q292" s="94">
        <f t="shared" si="51"/>
        <v>88236671.969406828</v>
      </c>
      <c r="R292" s="94">
        <f t="shared" si="51"/>
        <v>93789220.375523627</v>
      </c>
      <c r="S292" s="94">
        <f t="shared" si="51"/>
        <v>99580436.46434781</v>
      </c>
      <c r="T292" s="94">
        <f t="shared" si="51"/>
        <v>105628221.54170674</v>
      </c>
      <c r="U292" s="94">
        <f t="shared" si="51"/>
        <v>111950804.99864727</v>
      </c>
      <c r="V292" s="94">
        <f t="shared" si="51"/>
        <v>118566828.20869553</v>
      </c>
    </row>
    <row r="293" spans="1:24" x14ac:dyDescent="0.25">
      <c r="A293" s="110" t="s">
        <v>239</v>
      </c>
      <c r="B293" s="112"/>
      <c r="C293" s="111">
        <f>B265</f>
        <v>4052286.5002565552</v>
      </c>
      <c r="D293" s="111">
        <f t="shared" ref="D293:V293" si="52">C265</f>
        <v>4457515.1502822107</v>
      </c>
      <c r="E293" s="111">
        <f t="shared" si="52"/>
        <v>4862743.8003078653</v>
      </c>
      <c r="F293" s="111">
        <f t="shared" si="52"/>
        <v>5267972.4503335217</v>
      </c>
      <c r="G293" s="111">
        <f t="shared" si="52"/>
        <v>5673201.1003591772</v>
      </c>
      <c r="H293" s="111">
        <f t="shared" si="52"/>
        <v>6078429.7503848318</v>
      </c>
      <c r="I293" s="111">
        <f t="shared" si="52"/>
        <v>6483658.4004104882</v>
      </c>
      <c r="J293" s="111">
        <f t="shared" si="52"/>
        <v>6888887.0504361438</v>
      </c>
      <c r="K293" s="111">
        <f t="shared" si="52"/>
        <v>7294115.7004617983</v>
      </c>
      <c r="L293" s="111">
        <f t="shared" si="52"/>
        <v>7699344.3504874539</v>
      </c>
      <c r="M293" s="111">
        <f t="shared" si="52"/>
        <v>0</v>
      </c>
      <c r="N293" s="111">
        <f t="shared" si="52"/>
        <v>0</v>
      </c>
      <c r="O293" s="111">
        <f t="shared" si="52"/>
        <v>0</v>
      </c>
      <c r="P293" s="111">
        <f t="shared" si="52"/>
        <v>0</v>
      </c>
      <c r="Q293" s="111">
        <f t="shared" si="52"/>
        <v>0</v>
      </c>
      <c r="R293" s="111">
        <f t="shared" si="52"/>
        <v>0</v>
      </c>
      <c r="S293" s="111">
        <f t="shared" si="52"/>
        <v>0</v>
      </c>
      <c r="T293" s="111">
        <f t="shared" si="52"/>
        <v>0</v>
      </c>
      <c r="U293" s="111">
        <f t="shared" si="52"/>
        <v>0</v>
      </c>
      <c r="V293" s="111">
        <f t="shared" si="52"/>
        <v>0</v>
      </c>
    </row>
    <row r="294" spans="1:24" x14ac:dyDescent="0.25">
      <c r="A294" s="92" t="s">
        <v>240</v>
      </c>
      <c r="B294" s="116">
        <f>B292-B293</f>
        <v>-14534989.098531676</v>
      </c>
      <c r="C294" s="94">
        <f>C292-C293</f>
        <v>21293328.506796926</v>
      </c>
      <c r="D294" s="94">
        <f t="shared" ref="D294:V294" si="53">D292-D293</f>
        <v>25082073.369018525</v>
      </c>
      <c r="E294" s="94">
        <f t="shared" si="53"/>
        <v>28818949.295004036</v>
      </c>
      <c r="F294" s="94">
        <f t="shared" si="53"/>
        <v>32533792.517446168</v>
      </c>
      <c r="G294" s="94">
        <f t="shared" si="53"/>
        <v>36253667.603332758</v>
      </c>
      <c r="H294" s="94">
        <f t="shared" si="53"/>
        <v>40003373.378664792</v>
      </c>
      <c r="I294" s="94">
        <f t="shared" si="53"/>
        <v>43805866.136499271</v>
      </c>
      <c r="J294" s="94">
        <f t="shared" si="53"/>
        <v>47682615.525886022</v>
      </c>
      <c r="K294" s="94">
        <f t="shared" si="53"/>
        <v>51653905.589092858</v>
      </c>
      <c r="L294" s="94">
        <f t="shared" si="53"/>
        <v>55739091.05721616</v>
      </c>
      <c r="M294" s="94">
        <f t="shared" si="53"/>
        <v>68061390.117190257</v>
      </c>
      <c r="N294" s="94">
        <f t="shared" si="53"/>
        <v>72835010.981077075</v>
      </c>
      <c r="O294" s="94">
        <f t="shared" si="53"/>
        <v>77777069.466941923</v>
      </c>
      <c r="P294" s="94">
        <f t="shared" si="53"/>
        <v>82905128.538983405</v>
      </c>
      <c r="Q294" s="94">
        <f t="shared" si="53"/>
        <v>88236671.969406828</v>
      </c>
      <c r="R294" s="94">
        <f t="shared" si="53"/>
        <v>93789220.375523627</v>
      </c>
      <c r="S294" s="94">
        <f t="shared" si="53"/>
        <v>99580436.46434781</v>
      </c>
      <c r="T294" s="94">
        <f t="shared" si="53"/>
        <v>105628221.54170674</v>
      </c>
      <c r="U294" s="94">
        <f t="shared" si="53"/>
        <v>111950804.99864727</v>
      </c>
      <c r="V294" s="94">
        <f t="shared" si="53"/>
        <v>118566828.20869553</v>
      </c>
    </row>
    <row r="295" spans="1:24" x14ac:dyDescent="0.25">
      <c r="A295" s="117" t="s">
        <v>241</v>
      </c>
      <c r="B295" s="118" t="s">
        <v>242</v>
      </c>
      <c r="C295" s="119">
        <f t="shared" ref="C295:I295" si="54">(C294/C273)</f>
        <v>0.35214422039440219</v>
      </c>
      <c r="D295" s="119">
        <f t="shared" si="54"/>
        <v>0.39504916246817007</v>
      </c>
      <c r="E295" s="119">
        <f t="shared" si="54"/>
        <v>0.43229135975226346</v>
      </c>
      <c r="F295" s="119">
        <f t="shared" si="54"/>
        <v>0.46477611992285733</v>
      </c>
      <c r="G295" s="119">
        <f t="shared" si="54"/>
        <v>0.49325530274887219</v>
      </c>
      <c r="H295" s="119">
        <f t="shared" si="54"/>
        <v>0.51835480777820386</v>
      </c>
      <c r="I295" s="119">
        <f t="shared" si="54"/>
        <v>0.54059682145404475</v>
      </c>
      <c r="J295" s="119">
        <f t="shared" ref="J295:V295" si="55">IF((J294/J273)&lt;=0,0,(J294/J273))</f>
        <v>0.56041788496866518</v>
      </c>
      <c r="K295" s="119">
        <f t="shared" si="55"/>
        <v>0.57818361804249918</v>
      </c>
      <c r="L295" s="119">
        <f t="shared" si="55"/>
        <v>0.59420075774974768</v>
      </c>
      <c r="M295" s="119">
        <f t="shared" si="55"/>
        <v>0.69101079971431301</v>
      </c>
      <c r="N295" s="119">
        <f t="shared" si="55"/>
        <v>0.70426306237683656</v>
      </c>
      <c r="O295" s="119">
        <f t="shared" si="55"/>
        <v>0.71623740374915834</v>
      </c>
      <c r="P295" s="119">
        <f t="shared" si="55"/>
        <v>0.72710565048861209</v>
      </c>
      <c r="Q295" s="119">
        <f t="shared" si="55"/>
        <v>0.73701434857955006</v>
      </c>
      <c r="R295" s="119">
        <f t="shared" si="55"/>
        <v>0.74608867930641365</v>
      </c>
      <c r="S295" s="119">
        <f t="shared" si="55"/>
        <v>0.75443573446081824</v>
      </c>
      <c r="T295" s="119">
        <f t="shared" si="55"/>
        <v>0.76214726246420028</v>
      </c>
      <c r="U295" s="119">
        <f t="shared" si="55"/>
        <v>0.76930197626428465</v>
      </c>
      <c r="V295" s="119">
        <f t="shared" si="55"/>
        <v>0.77596749718124636</v>
      </c>
    </row>
    <row r="296" spans="1:24" x14ac:dyDescent="0.25">
      <c r="B296" s="95"/>
    </row>
    <row r="297" spans="1:24" x14ac:dyDescent="0.25">
      <c r="B297" s="95"/>
    </row>
    <row r="299" spans="1:24" x14ac:dyDescent="0.25">
      <c r="A299" s="120" t="s">
        <v>243</v>
      </c>
      <c r="B299" s="16"/>
      <c r="C299" s="16"/>
      <c r="D299" s="16"/>
      <c r="E299" s="16"/>
      <c r="F299" s="16"/>
      <c r="G299" s="16"/>
      <c r="H299" s="16"/>
      <c r="I299" s="16"/>
      <c r="J299" s="16"/>
      <c r="K299" s="16"/>
      <c r="L299" s="16"/>
      <c r="M299" s="16"/>
      <c r="N299" s="16"/>
      <c r="O299" s="16"/>
      <c r="P299" s="16"/>
      <c r="Q299" s="16"/>
      <c r="R299" s="16"/>
      <c r="S299" s="16"/>
      <c r="T299" s="16"/>
      <c r="U299" s="16"/>
      <c r="V299" s="16"/>
      <c r="X299" t="s">
        <v>244</v>
      </c>
    </row>
    <row r="300" spans="1:24" x14ac:dyDescent="0.25">
      <c r="A300" s="21"/>
      <c r="B300" s="21">
        <v>2024</v>
      </c>
      <c r="C300" s="21">
        <v>2025</v>
      </c>
      <c r="D300" s="21">
        <v>2026</v>
      </c>
      <c r="E300" s="21">
        <v>2027</v>
      </c>
      <c r="F300" s="21">
        <v>2028</v>
      </c>
      <c r="G300" s="21">
        <v>2029</v>
      </c>
      <c r="H300" s="21">
        <v>2030</v>
      </c>
      <c r="I300" s="21">
        <v>2031</v>
      </c>
      <c r="J300" s="21">
        <v>2032</v>
      </c>
      <c r="K300" s="21">
        <v>2033</v>
      </c>
      <c r="L300" s="21">
        <v>2034</v>
      </c>
      <c r="M300" s="21">
        <v>2035</v>
      </c>
      <c r="N300" s="21">
        <v>2036</v>
      </c>
      <c r="O300" s="21">
        <v>2037</v>
      </c>
      <c r="P300" s="21">
        <v>2038</v>
      </c>
      <c r="Q300" s="21">
        <v>2039</v>
      </c>
      <c r="R300" s="21">
        <v>2040</v>
      </c>
      <c r="S300" s="21">
        <v>2041</v>
      </c>
      <c r="T300" s="21">
        <v>2042</v>
      </c>
      <c r="U300" s="21">
        <v>2043</v>
      </c>
      <c r="V300" s="21">
        <v>2044</v>
      </c>
    </row>
    <row r="301" spans="1:24" x14ac:dyDescent="0.25">
      <c r="A301" s="148" t="s">
        <v>245</v>
      </c>
      <c r="B301" s="149"/>
      <c r="C301" s="149"/>
      <c r="D301" s="149"/>
      <c r="E301" s="149"/>
      <c r="F301" s="149"/>
      <c r="G301" s="149"/>
      <c r="H301" s="149"/>
      <c r="I301" s="149"/>
      <c r="J301" s="149"/>
      <c r="K301" s="149"/>
      <c r="L301" s="149"/>
      <c r="M301" s="149"/>
      <c r="N301" s="149"/>
      <c r="O301" s="149"/>
      <c r="P301" s="149"/>
      <c r="Q301" s="149"/>
      <c r="R301" s="149"/>
      <c r="S301" s="149"/>
      <c r="T301" s="149"/>
      <c r="U301" s="149"/>
      <c r="V301" s="150"/>
    </row>
    <row r="302" spans="1:24" x14ac:dyDescent="0.25">
      <c r="A302" s="121" t="s">
        <v>246</v>
      </c>
      <c r="B302" s="122">
        <f>B247</f>
        <v>205997697.39324927</v>
      </c>
      <c r="C302" s="82"/>
      <c r="D302" s="82"/>
      <c r="E302" s="123"/>
      <c r="F302" s="123"/>
      <c r="G302" s="123"/>
      <c r="H302" s="124"/>
      <c r="I302" s="123"/>
      <c r="J302" s="82"/>
      <c r="K302" s="82"/>
      <c r="L302" s="82"/>
      <c r="M302" s="82"/>
      <c r="N302" s="82"/>
      <c r="O302" s="82"/>
      <c r="P302" s="82"/>
      <c r="Q302" s="82"/>
      <c r="R302" s="82"/>
      <c r="S302" s="82"/>
      <c r="T302" s="82"/>
      <c r="U302" s="82"/>
      <c r="V302" s="82"/>
    </row>
    <row r="303" spans="1:24" x14ac:dyDescent="0.25">
      <c r="A303" s="121" t="s">
        <v>271</v>
      </c>
      <c r="B303" s="122">
        <f>(B233+B234)-B302</f>
        <v>0</v>
      </c>
      <c r="C303" s="82"/>
      <c r="D303" s="82"/>
      <c r="E303" s="123"/>
      <c r="F303" s="123"/>
      <c r="G303" s="123"/>
      <c r="H303" s="124"/>
      <c r="I303" s="123"/>
      <c r="J303" s="82"/>
      <c r="K303" s="82"/>
      <c r="L303" s="82"/>
      <c r="M303" s="82"/>
      <c r="N303" s="82"/>
      <c r="O303" s="82"/>
      <c r="P303" s="82"/>
      <c r="Q303" s="82"/>
      <c r="R303" s="82"/>
      <c r="S303" s="82"/>
      <c r="T303" s="82"/>
      <c r="U303" s="82"/>
      <c r="V303" s="82"/>
    </row>
    <row r="304" spans="1:24" x14ac:dyDescent="0.25">
      <c r="A304" s="121" t="s">
        <v>197</v>
      </c>
      <c r="B304" s="88"/>
      <c r="C304" s="88">
        <f t="shared" ref="C304:V304" si="56">C273</f>
        <v>60467635.910503827</v>
      </c>
      <c r="D304" s="88">
        <f t="shared" si="56"/>
        <v>63491017.706029028</v>
      </c>
      <c r="E304" s="88">
        <f t="shared" si="56"/>
        <v>66665568.591330469</v>
      </c>
      <c r="F304" s="88">
        <f t="shared" si="56"/>
        <v>69998847.020897001</v>
      </c>
      <c r="G304" s="88">
        <f t="shared" si="56"/>
        <v>73498789.371941835</v>
      </c>
      <c r="H304" s="88">
        <f t="shared" si="56"/>
        <v>77173728.840538949</v>
      </c>
      <c r="I304" s="88">
        <f t="shared" si="56"/>
        <v>81032415.282565877</v>
      </c>
      <c r="J304" s="88">
        <f t="shared" si="56"/>
        <v>85084036.046694189</v>
      </c>
      <c r="K304" s="88">
        <f t="shared" si="56"/>
        <v>89338237.849028885</v>
      </c>
      <c r="L304" s="88">
        <f t="shared" si="56"/>
        <v>93805149.741480336</v>
      </c>
      <c r="M304" s="88">
        <f t="shared" si="56"/>
        <v>98495407.228554338</v>
      </c>
      <c r="N304" s="88">
        <f t="shared" si="56"/>
        <v>103420177.58998209</v>
      </c>
      <c r="O304" s="88">
        <f t="shared" si="56"/>
        <v>108591186.46948117</v>
      </c>
      <c r="P304" s="88">
        <f t="shared" si="56"/>
        <v>114020745.79295525</v>
      </c>
      <c r="Q304" s="88">
        <f t="shared" si="56"/>
        <v>119721783.08260298</v>
      </c>
      <c r="R304" s="88">
        <f t="shared" si="56"/>
        <v>125707872.23673317</v>
      </c>
      <c r="S304" s="88">
        <f t="shared" si="56"/>
        <v>131993265.84856981</v>
      </c>
      <c r="T304" s="88">
        <f t="shared" si="56"/>
        <v>138592929.1409983</v>
      </c>
      <c r="U304" s="88">
        <f t="shared" si="56"/>
        <v>145522575.59804824</v>
      </c>
      <c r="V304" s="88">
        <f t="shared" si="56"/>
        <v>152798704.37795067</v>
      </c>
    </row>
    <row r="305" spans="1:22" x14ac:dyDescent="0.25">
      <c r="A305" s="125" t="s">
        <v>247</v>
      </c>
      <c r="B305" s="126">
        <f>SUM(B302:B304)</f>
        <v>205997697.39324927</v>
      </c>
      <c r="C305" s="126">
        <f t="shared" ref="C305:J305" si="57">SUM(C302:C304)</f>
        <v>60467635.910503827</v>
      </c>
      <c r="D305" s="126">
        <f t="shared" si="57"/>
        <v>63491017.706029028</v>
      </c>
      <c r="E305" s="126">
        <f t="shared" si="57"/>
        <v>66665568.591330469</v>
      </c>
      <c r="F305" s="126">
        <f t="shared" si="57"/>
        <v>69998847.020897001</v>
      </c>
      <c r="G305" s="126">
        <f t="shared" si="57"/>
        <v>73498789.371941835</v>
      </c>
      <c r="H305" s="126">
        <f t="shared" si="57"/>
        <v>77173728.840538949</v>
      </c>
      <c r="I305" s="126">
        <f t="shared" si="57"/>
        <v>81032415.282565877</v>
      </c>
      <c r="J305" s="126">
        <f t="shared" si="57"/>
        <v>85084036.046694189</v>
      </c>
      <c r="K305" s="126">
        <f>SUM(K302:K304)</f>
        <v>89338237.849028885</v>
      </c>
      <c r="L305" s="126">
        <f t="shared" ref="L305:O305" si="58">SUM(L302:L304)</f>
        <v>93805149.741480336</v>
      </c>
      <c r="M305" s="126">
        <f t="shared" si="58"/>
        <v>98495407.228554338</v>
      </c>
      <c r="N305" s="126">
        <f t="shared" si="58"/>
        <v>103420177.58998209</v>
      </c>
      <c r="O305" s="126">
        <f t="shared" si="58"/>
        <v>108591186.46948117</v>
      </c>
      <c r="P305" s="126">
        <f>SUM(P302:P304)</f>
        <v>114020745.79295525</v>
      </c>
      <c r="Q305" s="126">
        <f t="shared" ref="Q305:V305" si="59">SUM(Q302:Q304)</f>
        <v>119721783.08260298</v>
      </c>
      <c r="R305" s="126">
        <f t="shared" si="59"/>
        <v>125707872.23673317</v>
      </c>
      <c r="S305" s="126">
        <f t="shared" si="59"/>
        <v>131993265.84856981</v>
      </c>
      <c r="T305" s="126">
        <f t="shared" si="59"/>
        <v>138592929.1409983</v>
      </c>
      <c r="U305" s="126">
        <f t="shared" si="59"/>
        <v>145522575.59804824</v>
      </c>
      <c r="V305" s="126">
        <f t="shared" si="59"/>
        <v>152798704.37795067</v>
      </c>
    </row>
    <row r="306" spans="1:22" x14ac:dyDescent="0.25">
      <c r="A306" s="151" t="s">
        <v>248</v>
      </c>
      <c r="B306" s="152"/>
      <c r="C306" s="152"/>
      <c r="D306" s="152"/>
      <c r="E306" s="152"/>
      <c r="F306" s="152"/>
      <c r="G306" s="152"/>
      <c r="H306" s="152"/>
      <c r="I306" s="152"/>
      <c r="J306" s="152"/>
      <c r="K306" s="152"/>
      <c r="L306" s="152"/>
      <c r="M306" s="152"/>
      <c r="N306" s="152"/>
      <c r="O306" s="152"/>
      <c r="P306" s="152"/>
      <c r="Q306" s="152"/>
      <c r="R306" s="152"/>
      <c r="S306" s="152"/>
      <c r="T306" s="152"/>
      <c r="U306" s="152"/>
      <c r="V306" s="153"/>
    </row>
    <row r="307" spans="1:22" x14ac:dyDescent="0.25">
      <c r="A307" s="127" t="s">
        <v>204</v>
      </c>
      <c r="B307" s="82">
        <f>B240</f>
        <v>46907753.550848238</v>
      </c>
      <c r="C307" s="121"/>
      <c r="D307" s="121"/>
      <c r="E307" s="121"/>
      <c r="F307" s="121"/>
      <c r="G307" s="121"/>
      <c r="H307" s="82"/>
      <c r="I307" s="121"/>
      <c r="J307" s="121"/>
      <c r="K307" s="121"/>
      <c r="L307" s="121"/>
      <c r="M307" s="121"/>
      <c r="N307" s="121"/>
      <c r="O307" s="121"/>
      <c r="P307" s="121"/>
      <c r="Q307" s="121"/>
      <c r="R307" s="121"/>
      <c r="S307" s="121"/>
      <c r="T307" s="121"/>
      <c r="U307" s="121"/>
      <c r="V307" s="121"/>
    </row>
    <row r="308" spans="1:22" x14ac:dyDescent="0.25">
      <c r="A308" s="127" t="s">
        <v>205</v>
      </c>
      <c r="B308" s="82">
        <f>B241</f>
        <v>137346183.93894008</v>
      </c>
      <c r="C308" s="121"/>
      <c r="D308" s="121"/>
      <c r="E308" s="121"/>
      <c r="F308" s="121"/>
      <c r="G308" s="121"/>
      <c r="H308" s="82"/>
      <c r="I308" s="121"/>
      <c r="J308" s="121"/>
      <c r="K308" s="121"/>
      <c r="L308" s="121"/>
      <c r="M308" s="121"/>
      <c r="N308" s="121"/>
      <c r="O308" s="121"/>
      <c r="P308" s="121"/>
      <c r="Q308" s="121"/>
      <c r="R308" s="121"/>
      <c r="S308" s="121"/>
      <c r="T308" s="121"/>
      <c r="U308" s="121"/>
      <c r="V308" s="121"/>
    </row>
    <row r="309" spans="1:22" x14ac:dyDescent="0.25">
      <c r="A309" s="127" t="s">
        <v>206</v>
      </c>
      <c r="B309" s="82">
        <f>B242</f>
        <v>5459150.8351292685</v>
      </c>
      <c r="C309" s="121"/>
      <c r="D309" s="121"/>
      <c r="E309" s="121"/>
      <c r="F309" s="121"/>
      <c r="G309" s="121"/>
      <c r="H309" s="82"/>
      <c r="I309" s="121"/>
      <c r="J309" s="121"/>
      <c r="K309" s="121"/>
      <c r="L309" s="121"/>
      <c r="M309" s="121"/>
      <c r="N309" s="121"/>
      <c r="O309" s="121"/>
      <c r="P309" s="121"/>
      <c r="Q309" s="121"/>
      <c r="R309" s="121"/>
      <c r="S309" s="121"/>
      <c r="T309" s="121"/>
      <c r="U309" s="121"/>
      <c r="V309" s="121"/>
    </row>
    <row r="310" spans="1:22" x14ac:dyDescent="0.25">
      <c r="A310" s="127" t="s">
        <v>127</v>
      </c>
      <c r="B310" s="82">
        <f>B243</f>
        <v>14534989.098531676</v>
      </c>
      <c r="C310" s="121"/>
      <c r="D310" s="121"/>
      <c r="E310" s="121"/>
      <c r="F310" s="121"/>
      <c r="G310" s="121"/>
      <c r="H310" s="82"/>
      <c r="I310" s="121"/>
      <c r="J310" s="121"/>
      <c r="K310" s="121"/>
      <c r="L310" s="121"/>
      <c r="M310" s="121"/>
      <c r="N310" s="121"/>
      <c r="O310" s="121"/>
      <c r="P310" s="121"/>
      <c r="Q310" s="121"/>
      <c r="R310" s="121"/>
      <c r="S310" s="121"/>
      <c r="T310" s="121"/>
      <c r="U310" s="121"/>
      <c r="V310" s="121"/>
    </row>
    <row r="311" spans="1:22" x14ac:dyDescent="0.25">
      <c r="A311" s="127" t="s">
        <v>249</v>
      </c>
      <c r="B311" s="82"/>
      <c r="C311" s="128">
        <f t="shared" ref="C311:V311" si="60">B264</f>
        <v>40522865.002565548</v>
      </c>
      <c r="D311" s="128">
        <f t="shared" si="60"/>
        <v>40522865.002565548</v>
      </c>
      <c r="E311" s="128">
        <f t="shared" si="60"/>
        <v>40522865.002565548</v>
      </c>
      <c r="F311" s="128">
        <f t="shared" si="60"/>
        <v>40522865.002565548</v>
      </c>
      <c r="G311" s="128">
        <f t="shared" si="60"/>
        <v>40522865.002565548</v>
      </c>
      <c r="H311" s="128">
        <f t="shared" si="60"/>
        <v>40522865.002565548</v>
      </c>
      <c r="I311" s="128">
        <f t="shared" si="60"/>
        <v>40522865.002565548</v>
      </c>
      <c r="J311" s="128">
        <f t="shared" si="60"/>
        <v>40522865.002565548</v>
      </c>
      <c r="K311" s="128">
        <f t="shared" si="60"/>
        <v>40522865.002565548</v>
      </c>
      <c r="L311" s="128">
        <f t="shared" si="60"/>
        <v>40522865.002565548</v>
      </c>
      <c r="M311" s="128">
        <f t="shared" si="60"/>
        <v>0</v>
      </c>
      <c r="N311" s="128">
        <f t="shared" si="60"/>
        <v>0</v>
      </c>
      <c r="O311" s="128">
        <f t="shared" si="60"/>
        <v>0</v>
      </c>
      <c r="P311" s="128">
        <f t="shared" si="60"/>
        <v>0</v>
      </c>
      <c r="Q311" s="128">
        <f t="shared" si="60"/>
        <v>0</v>
      </c>
      <c r="R311" s="128">
        <f t="shared" si="60"/>
        <v>0</v>
      </c>
      <c r="S311" s="128">
        <f t="shared" si="60"/>
        <v>0</v>
      </c>
      <c r="T311" s="128">
        <f t="shared" si="60"/>
        <v>0</v>
      </c>
      <c r="U311" s="128">
        <f t="shared" si="60"/>
        <v>0</v>
      </c>
      <c r="V311" s="128">
        <f t="shared" si="60"/>
        <v>0</v>
      </c>
    </row>
    <row r="312" spans="1:22" x14ac:dyDescent="0.25">
      <c r="A312" s="127" t="s">
        <v>250</v>
      </c>
      <c r="B312" s="82"/>
      <c r="C312" s="82">
        <f t="shared" ref="C312:V312" si="61">C277+C287</f>
        <v>17950184.664988071</v>
      </c>
      <c r="D312" s="82">
        <f t="shared" si="61"/>
        <v>18488690.204937711</v>
      </c>
      <c r="E312" s="82">
        <f t="shared" si="61"/>
        <v>19043350.911085848</v>
      </c>
      <c r="F312" s="82">
        <f t="shared" si="61"/>
        <v>19614651.438418418</v>
      </c>
      <c r="G312" s="82">
        <f t="shared" si="61"/>
        <v>20203090.981570967</v>
      </c>
      <c r="H312" s="82">
        <f t="shared" si="61"/>
        <v>20809183.7110181</v>
      </c>
      <c r="I312" s="82">
        <f t="shared" si="61"/>
        <v>21433459.222348645</v>
      </c>
      <c r="J312" s="82">
        <f t="shared" si="61"/>
        <v>22076462.999019101</v>
      </c>
      <c r="K312" s="82">
        <f t="shared" si="61"/>
        <v>22738756.888989676</v>
      </c>
      <c r="L312" s="82">
        <f t="shared" si="61"/>
        <v>23420919.595659364</v>
      </c>
      <c r="M312" s="82">
        <f t="shared" si="61"/>
        <v>24123547.183529146</v>
      </c>
      <c r="N312" s="82">
        <f t="shared" si="61"/>
        <v>24847253.599035017</v>
      </c>
      <c r="O312" s="82">
        <f t="shared" si="61"/>
        <v>25592671.207006071</v>
      </c>
      <c r="P312" s="82">
        <f t="shared" si="61"/>
        <v>26360451.343216255</v>
      </c>
      <c r="Q312" s="82">
        <f t="shared" si="61"/>
        <v>27151264.883512743</v>
      </c>
      <c r="R312" s="82">
        <f t="shared" si="61"/>
        <v>27965802.830018118</v>
      </c>
      <c r="S312" s="82">
        <f t="shared" si="61"/>
        <v>28804776.914918661</v>
      </c>
      <c r="T312" s="82">
        <f t="shared" si="61"/>
        <v>29668920.222366225</v>
      </c>
      <c r="U312" s="82">
        <f t="shared" si="61"/>
        <v>30558987.829037212</v>
      </c>
      <c r="V312" s="82">
        <f t="shared" si="61"/>
        <v>31475757.463908322</v>
      </c>
    </row>
    <row r="313" spans="1:22" x14ac:dyDescent="0.25">
      <c r="A313" s="125" t="s">
        <v>251</v>
      </c>
      <c r="B313" s="126">
        <f t="shared" ref="B313:V313" si="62">SUM(B307:B312)</f>
        <v>204248077.42344925</v>
      </c>
      <c r="C313" s="126">
        <f t="shared" si="62"/>
        <v>58473049.667553619</v>
      </c>
      <c r="D313" s="126">
        <f t="shared" si="62"/>
        <v>59011555.207503259</v>
      </c>
      <c r="E313" s="126">
        <f t="shared" si="62"/>
        <v>59566215.913651392</v>
      </c>
      <c r="F313" s="126">
        <f t="shared" si="62"/>
        <v>60137516.440983966</v>
      </c>
      <c r="G313" s="126">
        <f t="shared" si="62"/>
        <v>60725955.984136514</v>
      </c>
      <c r="H313" s="126">
        <f t="shared" si="62"/>
        <v>61332048.713583648</v>
      </c>
      <c r="I313" s="126">
        <f t="shared" si="62"/>
        <v>61956324.224914193</v>
      </c>
      <c r="J313" s="126">
        <f t="shared" si="62"/>
        <v>62599328.001584649</v>
      </c>
      <c r="K313" s="126">
        <f t="shared" si="62"/>
        <v>63261621.89155522</v>
      </c>
      <c r="L313" s="126">
        <f t="shared" si="62"/>
        <v>63943784.598224908</v>
      </c>
      <c r="M313" s="126">
        <f t="shared" si="62"/>
        <v>24123547.183529146</v>
      </c>
      <c r="N313" s="126">
        <f t="shared" si="62"/>
        <v>24847253.599035017</v>
      </c>
      <c r="O313" s="126">
        <f t="shared" si="62"/>
        <v>25592671.207006071</v>
      </c>
      <c r="P313" s="126">
        <f t="shared" si="62"/>
        <v>26360451.343216255</v>
      </c>
      <c r="Q313" s="126">
        <f t="shared" si="62"/>
        <v>27151264.883512743</v>
      </c>
      <c r="R313" s="126">
        <f t="shared" si="62"/>
        <v>27965802.830018118</v>
      </c>
      <c r="S313" s="126">
        <f t="shared" si="62"/>
        <v>28804776.914918661</v>
      </c>
      <c r="T313" s="126">
        <f t="shared" si="62"/>
        <v>29668920.222366225</v>
      </c>
      <c r="U313" s="126">
        <f t="shared" si="62"/>
        <v>30558987.829037212</v>
      </c>
      <c r="V313" s="126">
        <f t="shared" si="62"/>
        <v>31475757.463908322</v>
      </c>
    </row>
    <row r="314" spans="1:22" x14ac:dyDescent="0.25">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row>
    <row r="315" spans="1:22" s="130" customFormat="1" x14ac:dyDescent="0.25">
      <c r="A315" s="129" t="s">
        <v>252</v>
      </c>
      <c r="B315" s="88">
        <f t="shared" ref="B315:V315" si="63">B305-B313</f>
        <v>1749619.9698000252</v>
      </c>
      <c r="C315" s="88">
        <f t="shared" si="63"/>
        <v>1994586.2429502085</v>
      </c>
      <c r="D315" s="88">
        <f t="shared" si="63"/>
        <v>4479462.4985257685</v>
      </c>
      <c r="E315" s="88">
        <f t="shared" si="63"/>
        <v>7099352.6776790768</v>
      </c>
      <c r="F315" s="88">
        <f t="shared" si="63"/>
        <v>9861330.579913035</v>
      </c>
      <c r="G315" s="88">
        <f t="shared" si="63"/>
        <v>12772833.38780532</v>
      </c>
      <c r="H315" s="88">
        <f t="shared" si="63"/>
        <v>15841680.126955301</v>
      </c>
      <c r="I315" s="88">
        <f t="shared" si="63"/>
        <v>19076091.057651684</v>
      </c>
      <c r="J315" s="88">
        <f t="shared" si="63"/>
        <v>22484708.04510954</v>
      </c>
      <c r="K315" s="88">
        <f t="shared" si="63"/>
        <v>26076615.957473665</v>
      </c>
      <c r="L315" s="88">
        <f t="shared" si="63"/>
        <v>29861365.143255427</v>
      </c>
      <c r="M315" s="88">
        <f t="shared" si="63"/>
        <v>74371860.0450252</v>
      </c>
      <c r="N315" s="88">
        <f t="shared" si="63"/>
        <v>78572923.990947068</v>
      </c>
      <c r="O315" s="88">
        <f t="shared" si="63"/>
        <v>82998515.262475103</v>
      </c>
      <c r="P315" s="88">
        <f t="shared" si="63"/>
        <v>87660294.449738994</v>
      </c>
      <c r="Q315" s="88">
        <f t="shared" si="63"/>
        <v>92570518.199090242</v>
      </c>
      <c r="R315" s="88">
        <f t="shared" si="63"/>
        <v>97742069.40671505</v>
      </c>
      <c r="S315" s="88">
        <f t="shared" si="63"/>
        <v>103188488.93365115</v>
      </c>
      <c r="T315" s="88">
        <f t="shared" si="63"/>
        <v>108924008.91863208</v>
      </c>
      <c r="U315" s="88">
        <f t="shared" si="63"/>
        <v>114963587.76901102</v>
      </c>
      <c r="V315" s="88">
        <f t="shared" si="63"/>
        <v>121322946.91404235</v>
      </c>
    </row>
    <row r="316" spans="1:22" s="130" customFormat="1" x14ac:dyDescent="0.25">
      <c r="A316" s="129" t="s">
        <v>261</v>
      </c>
      <c r="B316" s="88">
        <f ca="1">B316</f>
        <v>0</v>
      </c>
      <c r="C316" s="88">
        <f>B317</f>
        <v>1749619.9698000252</v>
      </c>
      <c r="D316" s="88">
        <f>C317</f>
        <v>3744206.2127502337</v>
      </c>
      <c r="E316" s="88">
        <f>D317</f>
        <v>8223668.7112760022</v>
      </c>
      <c r="F316" s="88">
        <f t="shared" ref="F316:V316" si="64">E317</f>
        <v>15323021.388955079</v>
      </c>
      <c r="G316" s="88">
        <f t="shared" si="64"/>
        <v>25184351.968868114</v>
      </c>
      <c r="H316" s="88">
        <f t="shared" si="64"/>
        <v>37957185.356673434</v>
      </c>
      <c r="I316" s="88">
        <f t="shared" si="64"/>
        <v>53798865.483628735</v>
      </c>
      <c r="J316" s="88">
        <f t="shared" si="64"/>
        <v>72874956.541280419</v>
      </c>
      <c r="K316" s="88">
        <f t="shared" si="64"/>
        <v>95359664.586389959</v>
      </c>
      <c r="L316" s="88">
        <f t="shared" si="64"/>
        <v>121436280.54386362</v>
      </c>
      <c r="M316" s="88">
        <f t="shared" si="64"/>
        <v>151297645.68711907</v>
      </c>
      <c r="N316" s="88">
        <f t="shared" si="64"/>
        <v>225669505.73214427</v>
      </c>
      <c r="O316" s="88">
        <f t="shared" si="64"/>
        <v>304242429.72309136</v>
      </c>
      <c r="P316" s="88">
        <f t="shared" si="64"/>
        <v>387240944.9855665</v>
      </c>
      <c r="Q316" s="88">
        <f t="shared" si="64"/>
        <v>474901239.43530548</v>
      </c>
      <c r="R316" s="88">
        <f t="shared" si="64"/>
        <v>567471757.63439572</v>
      </c>
      <c r="S316" s="88">
        <f t="shared" si="64"/>
        <v>665213827.04111075</v>
      </c>
      <c r="T316" s="88">
        <f t="shared" si="64"/>
        <v>768402315.97476196</v>
      </c>
      <c r="U316" s="88">
        <f t="shared" si="64"/>
        <v>877326324.89339399</v>
      </c>
      <c r="V316" s="88">
        <f t="shared" si="64"/>
        <v>992289912.66240501</v>
      </c>
    </row>
    <row r="317" spans="1:22" s="130" customFormat="1" x14ac:dyDescent="0.25">
      <c r="A317" s="129" t="s">
        <v>262</v>
      </c>
      <c r="B317" s="88">
        <f>B315</f>
        <v>1749619.9698000252</v>
      </c>
      <c r="C317" s="88">
        <f>C315+C316</f>
        <v>3744206.2127502337</v>
      </c>
      <c r="D317" s="88">
        <f>D315+D316</f>
        <v>8223668.7112760022</v>
      </c>
      <c r="E317" s="88">
        <f>E315+E316</f>
        <v>15323021.388955079</v>
      </c>
      <c r="F317" s="88">
        <f t="shared" ref="F317:V317" si="65">F315+F316</f>
        <v>25184351.968868114</v>
      </c>
      <c r="G317" s="88">
        <f t="shared" si="65"/>
        <v>37957185.356673434</v>
      </c>
      <c r="H317" s="88">
        <f t="shared" si="65"/>
        <v>53798865.483628735</v>
      </c>
      <c r="I317" s="88">
        <f t="shared" si="65"/>
        <v>72874956.541280419</v>
      </c>
      <c r="J317" s="88">
        <f t="shared" si="65"/>
        <v>95359664.586389959</v>
      </c>
      <c r="K317" s="88">
        <f t="shared" si="65"/>
        <v>121436280.54386362</v>
      </c>
      <c r="L317" s="88">
        <f t="shared" si="65"/>
        <v>151297645.68711907</v>
      </c>
      <c r="M317" s="88">
        <f t="shared" si="65"/>
        <v>225669505.73214427</v>
      </c>
      <c r="N317" s="88">
        <f t="shared" si="65"/>
        <v>304242429.72309136</v>
      </c>
      <c r="O317" s="88">
        <f t="shared" si="65"/>
        <v>387240944.9855665</v>
      </c>
      <c r="P317" s="88">
        <f t="shared" si="65"/>
        <v>474901239.43530548</v>
      </c>
      <c r="Q317" s="88">
        <f t="shared" si="65"/>
        <v>567471757.63439572</v>
      </c>
      <c r="R317" s="88">
        <f t="shared" si="65"/>
        <v>665213827.04111075</v>
      </c>
      <c r="S317" s="88">
        <f t="shared" si="65"/>
        <v>768402315.97476196</v>
      </c>
      <c r="T317" s="88">
        <f t="shared" si="65"/>
        <v>877326324.89339399</v>
      </c>
      <c r="U317" s="88">
        <f t="shared" si="65"/>
        <v>992289912.66240501</v>
      </c>
      <c r="V317" s="88">
        <f t="shared" si="65"/>
        <v>1113612859.5764475</v>
      </c>
    </row>
    <row r="318" spans="1:22" x14ac:dyDescent="0.25">
      <c r="B318" s="131"/>
    </row>
    <row r="319" spans="1:22" x14ac:dyDescent="0.25">
      <c r="B319" s="131"/>
    </row>
    <row r="320" spans="1:22" x14ac:dyDescent="0.25">
      <c r="B320" s="131"/>
    </row>
    <row r="321" spans="1:23" x14ac:dyDescent="0.25">
      <c r="A321" s="87" t="s">
        <v>253</v>
      </c>
    </row>
    <row r="322" spans="1:23" x14ac:dyDescent="0.25">
      <c r="A322" s="21"/>
      <c r="B322" s="21">
        <v>2024</v>
      </c>
      <c r="C322" s="21">
        <v>2025</v>
      </c>
      <c r="D322" s="21">
        <v>2026</v>
      </c>
      <c r="E322" s="21">
        <v>2027</v>
      </c>
      <c r="F322" s="21">
        <v>2028</v>
      </c>
      <c r="G322" s="21">
        <v>2029</v>
      </c>
      <c r="H322" s="21">
        <v>2030</v>
      </c>
      <c r="I322" s="21">
        <v>2031</v>
      </c>
      <c r="J322" s="21">
        <v>2032</v>
      </c>
      <c r="K322" s="21">
        <v>2033</v>
      </c>
      <c r="L322" s="21">
        <v>2034</v>
      </c>
      <c r="M322" s="21">
        <v>2035</v>
      </c>
      <c r="N322" s="21">
        <v>2036</v>
      </c>
      <c r="O322" s="21">
        <v>2037</v>
      </c>
      <c r="P322" s="21">
        <v>2038</v>
      </c>
      <c r="Q322" s="21">
        <v>2039</v>
      </c>
      <c r="R322" s="21">
        <v>2040</v>
      </c>
      <c r="S322" s="21">
        <v>2041</v>
      </c>
      <c r="T322" s="21">
        <v>2042</v>
      </c>
      <c r="U322" s="21">
        <v>2043</v>
      </c>
      <c r="V322" s="21">
        <v>2044</v>
      </c>
    </row>
    <row r="323" spans="1:23" x14ac:dyDescent="0.25">
      <c r="A323" s="137" t="s">
        <v>254</v>
      </c>
      <c r="B323" s="137"/>
      <c r="C323" s="137"/>
      <c r="D323" s="137"/>
      <c r="E323" s="137"/>
      <c r="F323" s="137"/>
      <c r="G323" s="137"/>
      <c r="H323" s="137"/>
      <c r="I323" s="137"/>
      <c r="J323" s="137"/>
      <c r="K323" s="137"/>
      <c r="L323" s="137"/>
      <c r="M323" s="137"/>
      <c r="N323" s="137"/>
      <c r="O323" s="137"/>
      <c r="P323" s="137"/>
      <c r="Q323" s="137"/>
      <c r="R323" s="137"/>
      <c r="S323" s="137"/>
      <c r="T323" s="137"/>
      <c r="U323" s="137"/>
      <c r="V323" s="137"/>
    </row>
    <row r="324" spans="1:23" x14ac:dyDescent="0.25">
      <c r="A324" s="20" t="s">
        <v>264</v>
      </c>
      <c r="B324" s="20" t="s">
        <v>242</v>
      </c>
      <c r="C324" s="94">
        <f t="shared" ref="C324:V324" si="66">C294</f>
        <v>21293328.506796926</v>
      </c>
      <c r="D324" s="94">
        <f t="shared" si="66"/>
        <v>25082073.369018525</v>
      </c>
      <c r="E324" s="94">
        <f t="shared" si="66"/>
        <v>28818949.295004036</v>
      </c>
      <c r="F324" s="94">
        <f t="shared" si="66"/>
        <v>32533792.517446168</v>
      </c>
      <c r="G324" s="94">
        <f t="shared" si="66"/>
        <v>36253667.603332758</v>
      </c>
      <c r="H324" s="94">
        <f t="shared" si="66"/>
        <v>40003373.378664792</v>
      </c>
      <c r="I324" s="94">
        <f t="shared" si="66"/>
        <v>43805866.136499271</v>
      </c>
      <c r="J324" s="94">
        <f t="shared" si="66"/>
        <v>47682615.525886022</v>
      </c>
      <c r="K324" s="94">
        <f t="shared" si="66"/>
        <v>51653905.589092858</v>
      </c>
      <c r="L324" s="94">
        <f t="shared" si="66"/>
        <v>55739091.05721616</v>
      </c>
      <c r="M324" s="94">
        <f t="shared" si="66"/>
        <v>68061390.117190257</v>
      </c>
      <c r="N324" s="94">
        <f t="shared" si="66"/>
        <v>72835010.981077075</v>
      </c>
      <c r="O324" s="94">
        <f t="shared" si="66"/>
        <v>77777069.466941923</v>
      </c>
      <c r="P324" s="94">
        <f t="shared" si="66"/>
        <v>82905128.538983405</v>
      </c>
      <c r="Q324" s="94">
        <f t="shared" si="66"/>
        <v>88236671.969406828</v>
      </c>
      <c r="R324" s="94">
        <f t="shared" si="66"/>
        <v>93789220.375523627</v>
      </c>
      <c r="S324" s="94">
        <f t="shared" si="66"/>
        <v>99580436.46434781</v>
      </c>
      <c r="T324" s="94">
        <f t="shared" si="66"/>
        <v>105628221.54170674</v>
      </c>
      <c r="U324" s="94">
        <f t="shared" si="66"/>
        <v>111950804.99864727</v>
      </c>
      <c r="V324" s="94">
        <f t="shared" si="66"/>
        <v>118566828.20869553</v>
      </c>
    </row>
    <row r="325" spans="1:23" x14ac:dyDescent="0.25">
      <c r="A325" s="20" t="s">
        <v>87</v>
      </c>
      <c r="B325" s="20" t="s">
        <v>242</v>
      </c>
      <c r="C325" s="141">
        <f t="shared" ref="C325:V325" si="67">C291</f>
        <v>17171836.238462277</v>
      </c>
      <c r="D325" s="141">
        <f t="shared" si="67"/>
        <v>15462738.981790582</v>
      </c>
      <c r="E325" s="141">
        <f t="shared" si="67"/>
        <v>13940524.58493272</v>
      </c>
      <c r="F325" s="141">
        <f t="shared" si="67"/>
        <v>12582430.614698896</v>
      </c>
      <c r="G325" s="141">
        <f t="shared" si="67"/>
        <v>11368829.686678929</v>
      </c>
      <c r="H325" s="141">
        <f t="shared" si="67"/>
        <v>10282742.000471221</v>
      </c>
      <c r="I325" s="141">
        <f t="shared" si="67"/>
        <v>9309431.5233074818</v>
      </c>
      <c r="J325" s="141">
        <f t="shared" si="67"/>
        <v>8436070.4713529125</v>
      </c>
      <c r="K325" s="141">
        <f t="shared" si="67"/>
        <v>7651459.6704845615</v>
      </c>
      <c r="L325" s="141">
        <f t="shared" si="67"/>
        <v>6945794.7381173596</v>
      </c>
      <c r="M325" s="141">
        <f t="shared" si="67"/>
        <v>6310469.9278349392</v>
      </c>
      <c r="N325" s="141">
        <f t="shared" si="67"/>
        <v>5737913.0098699974</v>
      </c>
      <c r="O325" s="141">
        <f t="shared" si="67"/>
        <v>5221445.795533184</v>
      </c>
      <c r="P325" s="141">
        <f t="shared" si="67"/>
        <v>4755165.9107555896</v>
      </c>
      <c r="Q325" s="141">
        <f t="shared" si="67"/>
        <v>4333846.2296834085</v>
      </c>
      <c r="R325" s="141">
        <f t="shared" si="67"/>
        <v>3952849.0311914263</v>
      </c>
      <c r="S325" s="141">
        <f t="shared" si="67"/>
        <v>3608052.4693033462</v>
      </c>
      <c r="T325" s="141">
        <f t="shared" si="67"/>
        <v>3295787.3769253381</v>
      </c>
      <c r="U325" s="141">
        <f t="shared" si="67"/>
        <v>3012782.7703637667</v>
      </c>
      <c r="V325" s="141">
        <f t="shared" si="67"/>
        <v>2756118.7053468078</v>
      </c>
    </row>
    <row r="326" spans="1:23" x14ac:dyDescent="0.25">
      <c r="A326" s="20" t="s">
        <v>249</v>
      </c>
      <c r="B326" s="20" t="s">
        <v>242</v>
      </c>
      <c r="C326" s="81">
        <f>B264-B265</f>
        <v>36470578.502308995</v>
      </c>
      <c r="D326" s="81">
        <f>C264-C265</f>
        <v>36065349.852283336</v>
      </c>
      <c r="E326" s="81">
        <f t="shared" ref="E326:V326" si="68">D264-D265</f>
        <v>35660121.202257685</v>
      </c>
      <c r="F326" s="81">
        <f t="shared" si="68"/>
        <v>35254892.552232027</v>
      </c>
      <c r="G326" s="81">
        <f t="shared" si="68"/>
        <v>34849663.902206369</v>
      </c>
      <c r="H326" s="81">
        <f t="shared" si="68"/>
        <v>34444435.252180718</v>
      </c>
      <c r="I326" s="81">
        <f t="shared" si="68"/>
        <v>34039206.60215506</v>
      </c>
      <c r="J326" s="81">
        <f t="shared" si="68"/>
        <v>33633977.952129401</v>
      </c>
      <c r="K326" s="81">
        <f t="shared" si="68"/>
        <v>33228749.30210375</v>
      </c>
      <c r="L326" s="81">
        <f t="shared" si="68"/>
        <v>32823520.652078092</v>
      </c>
      <c r="M326" s="81">
        <f t="shared" si="68"/>
        <v>0</v>
      </c>
      <c r="N326" s="81">
        <f t="shared" si="68"/>
        <v>0</v>
      </c>
      <c r="O326" s="81">
        <f t="shared" si="68"/>
        <v>0</v>
      </c>
      <c r="P326" s="81">
        <f t="shared" si="68"/>
        <v>0</v>
      </c>
      <c r="Q326" s="81">
        <f t="shared" si="68"/>
        <v>0</v>
      </c>
      <c r="R326" s="81">
        <f t="shared" si="68"/>
        <v>0</v>
      </c>
      <c r="S326" s="81">
        <f t="shared" si="68"/>
        <v>0</v>
      </c>
      <c r="T326" s="81">
        <f t="shared" si="68"/>
        <v>0</v>
      </c>
      <c r="U326" s="81">
        <f t="shared" si="68"/>
        <v>0</v>
      </c>
      <c r="V326" s="81">
        <f t="shared" si="68"/>
        <v>0</v>
      </c>
    </row>
    <row r="327" spans="1:23" x14ac:dyDescent="0.25">
      <c r="A327" s="20" t="s">
        <v>265</v>
      </c>
      <c r="B327" s="94"/>
      <c r="C327" s="81">
        <f>C324+C325-C326</f>
        <v>1994586.2429502085</v>
      </c>
      <c r="D327" s="81">
        <f>D324+D325-D326</f>
        <v>4479462.4985257685</v>
      </c>
      <c r="E327" s="81">
        <f>E324+E325-E326</f>
        <v>7099352.6776790693</v>
      </c>
      <c r="F327" s="81">
        <f>F324+F325-F326</f>
        <v>9861330.579913035</v>
      </c>
      <c r="G327" s="81">
        <f>G324+G325-G326</f>
        <v>12772833.38780532</v>
      </c>
      <c r="H327" s="81">
        <f t="shared" ref="H327:V327" si="69">H324+H325-H326</f>
        <v>15841680.126955293</v>
      </c>
      <c r="I327" s="81">
        <f t="shared" si="69"/>
        <v>19076091.057651691</v>
      </c>
      <c r="J327" s="81">
        <f t="shared" si="69"/>
        <v>22484708.045109533</v>
      </c>
      <c r="K327" s="81">
        <f t="shared" si="69"/>
        <v>26076615.957473673</v>
      </c>
      <c r="L327" s="81">
        <f t="shared" si="69"/>
        <v>29861365.143255427</v>
      </c>
      <c r="M327" s="81">
        <f t="shared" si="69"/>
        <v>74371860.0450252</v>
      </c>
      <c r="N327" s="81">
        <f t="shared" si="69"/>
        <v>78572923.990947068</v>
      </c>
      <c r="O327" s="81">
        <f t="shared" si="69"/>
        <v>82998515.262475103</v>
      </c>
      <c r="P327" s="81">
        <f t="shared" si="69"/>
        <v>87660294.449738994</v>
      </c>
      <c r="Q327" s="81">
        <f t="shared" si="69"/>
        <v>92570518.199090242</v>
      </c>
      <c r="R327" s="81">
        <f t="shared" si="69"/>
        <v>97742069.40671505</v>
      </c>
      <c r="S327" s="81">
        <f t="shared" si="69"/>
        <v>103188488.93365115</v>
      </c>
      <c r="T327" s="81">
        <f t="shared" si="69"/>
        <v>108924008.91863208</v>
      </c>
      <c r="U327" s="81">
        <f t="shared" si="69"/>
        <v>114963587.76901104</v>
      </c>
      <c r="V327" s="81">
        <f t="shared" si="69"/>
        <v>121322946.91404234</v>
      </c>
    </row>
    <row r="328" spans="1:23" x14ac:dyDescent="0.25">
      <c r="A328" s="21" t="s">
        <v>268</v>
      </c>
      <c r="B328" s="94">
        <f>B313*-1</f>
        <v>-204248077.42344925</v>
      </c>
      <c r="C328" s="94">
        <f t="shared" ref="C328:V328" si="70">C327/((1+$B$112)^(C322-$B$322))</f>
        <v>1869866.1694480253</v>
      </c>
      <c r="D328" s="94">
        <f t="shared" si="70"/>
        <v>3936781.533904532</v>
      </c>
      <c r="E328" s="94">
        <f t="shared" si="70"/>
        <v>5849137.9755844362</v>
      </c>
      <c r="F328" s="94">
        <f t="shared" si="70"/>
        <v>7616691.0057145441</v>
      </c>
      <c r="G328" s="94">
        <f t="shared" si="70"/>
        <v>9248595.2084704749</v>
      </c>
      <c r="H328" s="94">
        <f t="shared" si="70"/>
        <v>10753441.313015796</v>
      </c>
      <c r="I328" s="94">
        <f t="shared" si="70"/>
        <v>12139290.967768442</v>
      </c>
      <c r="J328" s="94">
        <f t="shared" si="70"/>
        <v>13413709.359827297</v>
      </c>
      <c r="K328" s="94">
        <f t="shared" si="70"/>
        <v>14583795.813579656</v>
      </c>
      <c r="L328" s="94">
        <f t="shared" si="70"/>
        <v>15656212.494156333</v>
      </c>
      <c r="M328" s="94">
        <f t="shared" si="70"/>
        <v>36554714.587167993</v>
      </c>
      <c r="N328" s="94">
        <f t="shared" si="70"/>
        <v>36204735.087889142</v>
      </c>
      <c r="O328" s="94">
        <f t="shared" si="70"/>
        <v>35852586.088070609</v>
      </c>
      <c r="P328" s="94">
        <f t="shared" si="70"/>
        <v>35498564.707611874</v>
      </c>
      <c r="Q328" s="94">
        <f t="shared" si="70"/>
        <v>35142954.36089018</v>
      </c>
      <c r="R328" s="94">
        <f t="shared" si="70"/>
        <v>34786025.282831565</v>
      </c>
      <c r="S328" s="94">
        <f t="shared" si="70"/>
        <v>34428035.036028214</v>
      </c>
      <c r="T328" s="94">
        <f t="shared" si="70"/>
        <v>34069228.99956844</v>
      </c>
      <c r="U328" s="94">
        <f t="shared" si="70"/>
        <v>33709840.840220876</v>
      </c>
      <c r="V328" s="94">
        <f t="shared" si="70"/>
        <v>33350092.966593329</v>
      </c>
      <c r="W328" s="68"/>
    </row>
    <row r="329" spans="1:23" x14ac:dyDescent="0.25">
      <c r="A329" s="132" t="s">
        <v>255</v>
      </c>
      <c r="B329" s="94">
        <f>SUM(B328:V328)</f>
        <v>240416222.37489244</v>
      </c>
      <c r="C329" s="146"/>
      <c r="D329" s="81"/>
      <c r="E329" s="81"/>
      <c r="F329" s="81"/>
      <c r="G329" s="81"/>
      <c r="H329" s="81"/>
      <c r="I329" s="81"/>
      <c r="J329" s="81"/>
      <c r="K329" s="81"/>
      <c r="L329" s="81"/>
      <c r="M329" s="81"/>
      <c r="N329" s="81"/>
      <c r="O329" s="81"/>
      <c r="P329" s="81"/>
      <c r="Q329" s="81"/>
      <c r="R329" s="81"/>
      <c r="S329" s="81"/>
      <c r="T329" s="81"/>
      <c r="U329" s="81"/>
      <c r="V329" s="81"/>
      <c r="W329" s="68"/>
    </row>
    <row r="330" spans="1:23" x14ac:dyDescent="0.25">
      <c r="A330" s="132" t="s">
        <v>256</v>
      </c>
      <c r="B330" s="133">
        <f>IRR(B328:V328,2)</f>
        <v>6.1962102893796889E-2</v>
      </c>
      <c r="C330" s="20"/>
      <c r="D330" s="20"/>
      <c r="E330" s="20"/>
      <c r="F330" s="20"/>
      <c r="G330" s="20"/>
      <c r="H330" s="20"/>
      <c r="I330" s="20"/>
      <c r="J330" s="20"/>
      <c r="K330" s="20"/>
      <c r="L330" s="20"/>
      <c r="M330" s="20"/>
      <c r="N330" s="20"/>
      <c r="O330" s="20"/>
      <c r="P330" s="20"/>
      <c r="Q330" s="20"/>
      <c r="R330" s="20"/>
      <c r="S330" s="20"/>
      <c r="T330" s="20"/>
      <c r="U330" s="20"/>
      <c r="V330" s="20"/>
    </row>
    <row r="331" spans="1:23" x14ac:dyDescent="0.25">
      <c r="A331" s="138" t="s">
        <v>257</v>
      </c>
      <c r="B331" s="139"/>
      <c r="C331" s="139"/>
      <c r="D331" s="139"/>
      <c r="E331" s="139"/>
      <c r="F331" s="139"/>
      <c r="G331" s="139"/>
      <c r="H331" s="139"/>
      <c r="I331" s="139"/>
      <c r="J331" s="139"/>
      <c r="K331" s="139"/>
      <c r="L331" s="139"/>
      <c r="M331" s="139"/>
      <c r="N331" s="139"/>
      <c r="O331" s="139"/>
      <c r="P331" s="139"/>
      <c r="Q331" s="139"/>
      <c r="R331" s="139"/>
      <c r="S331" s="139"/>
      <c r="T331" s="139"/>
      <c r="U331" s="139"/>
      <c r="V331" s="140"/>
    </row>
    <row r="332" spans="1:23" x14ac:dyDescent="0.25">
      <c r="A332" s="134" t="s">
        <v>268</v>
      </c>
      <c r="B332" s="143">
        <f>B328</f>
        <v>-204248077.42344925</v>
      </c>
      <c r="C332" s="143">
        <f>C328</f>
        <v>1869866.1694480253</v>
      </c>
      <c r="D332" s="143">
        <f>D328</f>
        <v>3936781.533904532</v>
      </c>
      <c r="E332" s="143">
        <f>E328</f>
        <v>5849137.9755844362</v>
      </c>
      <c r="F332" s="143">
        <f t="shared" ref="F332:V332" si="71">F328</f>
        <v>7616691.0057145441</v>
      </c>
      <c r="G332" s="143">
        <f t="shared" si="71"/>
        <v>9248595.2084704749</v>
      </c>
      <c r="H332" s="143">
        <f t="shared" si="71"/>
        <v>10753441.313015796</v>
      </c>
      <c r="I332" s="143">
        <f t="shared" si="71"/>
        <v>12139290.967768442</v>
      </c>
      <c r="J332" s="143">
        <f t="shared" si="71"/>
        <v>13413709.359827297</v>
      </c>
      <c r="K332" s="143">
        <f t="shared" si="71"/>
        <v>14583795.813579656</v>
      </c>
      <c r="L332" s="143">
        <f t="shared" si="71"/>
        <v>15656212.494156333</v>
      </c>
      <c r="M332" s="143">
        <f t="shared" si="71"/>
        <v>36554714.587167993</v>
      </c>
      <c r="N332" s="143">
        <f t="shared" si="71"/>
        <v>36204735.087889142</v>
      </c>
      <c r="O332" s="143">
        <f t="shared" si="71"/>
        <v>35852586.088070609</v>
      </c>
      <c r="P332" s="143">
        <f t="shared" si="71"/>
        <v>35498564.707611874</v>
      </c>
      <c r="Q332" s="143">
        <f t="shared" si="71"/>
        <v>35142954.36089018</v>
      </c>
      <c r="R332" s="143">
        <f t="shared" si="71"/>
        <v>34786025.282831565</v>
      </c>
      <c r="S332" s="143">
        <f t="shared" si="71"/>
        <v>34428035.036028214</v>
      </c>
      <c r="T332" s="143">
        <f t="shared" si="71"/>
        <v>34069228.99956844</v>
      </c>
      <c r="U332" s="143">
        <f t="shared" si="71"/>
        <v>33709840.840220876</v>
      </c>
      <c r="V332" s="143">
        <f t="shared" si="71"/>
        <v>33350092.966593329</v>
      </c>
    </row>
    <row r="333" spans="1:23" x14ac:dyDescent="0.25">
      <c r="A333" s="134" t="s">
        <v>258</v>
      </c>
      <c r="B333" s="82">
        <f>B315</f>
        <v>1749619.9698000252</v>
      </c>
      <c r="C333" s="82">
        <f t="shared" ref="C333:G334" si="72">B333+C332</f>
        <v>3619486.1392480507</v>
      </c>
      <c r="D333" s="82">
        <f t="shared" si="72"/>
        <v>7556267.6731525827</v>
      </c>
      <c r="E333" s="82">
        <f t="shared" si="72"/>
        <v>13405405.648737019</v>
      </c>
      <c r="F333" s="82">
        <f t="shared" si="72"/>
        <v>21022096.654451564</v>
      </c>
      <c r="G333" s="82">
        <f t="shared" si="72"/>
        <v>30270691.862922039</v>
      </c>
      <c r="H333" s="82">
        <f t="shared" ref="H333:V333" si="73">G333+H332</f>
        <v>41024133.175937831</v>
      </c>
      <c r="I333" s="82">
        <f t="shared" si="73"/>
        <v>53163424.143706277</v>
      </c>
      <c r="J333" s="82">
        <f t="shared" si="73"/>
        <v>66577133.503533572</v>
      </c>
      <c r="K333" s="82">
        <f t="shared" si="73"/>
        <v>81160929.317113221</v>
      </c>
      <c r="L333" s="82">
        <f t="shared" si="73"/>
        <v>96817141.811269552</v>
      </c>
      <c r="M333" s="82">
        <f t="shared" si="73"/>
        <v>133371856.39843754</v>
      </c>
      <c r="N333" s="82">
        <f t="shared" si="73"/>
        <v>169576591.48632669</v>
      </c>
      <c r="O333" s="82">
        <f t="shared" si="73"/>
        <v>205429177.5743973</v>
      </c>
      <c r="P333" s="82">
        <f t="shared" si="73"/>
        <v>240927742.28200918</v>
      </c>
      <c r="Q333" s="82">
        <f t="shared" si="73"/>
        <v>276070696.64289939</v>
      </c>
      <c r="R333" s="82">
        <f t="shared" si="73"/>
        <v>310856721.92573094</v>
      </c>
      <c r="S333" s="82">
        <f t="shared" si="73"/>
        <v>345284756.96175915</v>
      </c>
      <c r="T333" s="82">
        <f t="shared" si="73"/>
        <v>379353985.96132761</v>
      </c>
      <c r="U333" s="82">
        <f t="shared" si="73"/>
        <v>413063826.80154848</v>
      </c>
      <c r="V333" s="82">
        <f t="shared" si="73"/>
        <v>446413919.76814181</v>
      </c>
    </row>
    <row r="334" spans="1:23" x14ac:dyDescent="0.25">
      <c r="A334" s="134" t="s">
        <v>259</v>
      </c>
      <c r="B334" s="144">
        <f>$B$332+B333</f>
        <v>-202498457.45364922</v>
      </c>
      <c r="C334" s="94">
        <f t="shared" si="72"/>
        <v>-198878971.31440118</v>
      </c>
      <c r="D334" s="94">
        <f t="shared" si="72"/>
        <v>-191322703.64124858</v>
      </c>
      <c r="E334" s="94">
        <f t="shared" si="72"/>
        <v>-177917297.99251157</v>
      </c>
      <c r="F334" s="94">
        <f t="shared" si="72"/>
        <v>-156895201.33806002</v>
      </c>
      <c r="G334" s="94">
        <f t="shared" si="72"/>
        <v>-126624509.47513798</v>
      </c>
      <c r="H334" s="94">
        <f t="shared" ref="H334:V334" si="74">G334+H333</f>
        <v>-85600376.299200147</v>
      </c>
      <c r="I334" s="94">
        <f t="shared" si="74"/>
        <v>-32436952.15549387</v>
      </c>
      <c r="J334" s="94">
        <f t="shared" si="74"/>
        <v>34140181.348039702</v>
      </c>
      <c r="K334" s="94">
        <f t="shared" si="74"/>
        <v>115301110.66515292</v>
      </c>
      <c r="L334" s="94">
        <f t="shared" si="74"/>
        <v>212118252.47642249</v>
      </c>
      <c r="M334" s="94">
        <f t="shared" si="74"/>
        <v>345490108.87486005</v>
      </c>
      <c r="N334" s="94">
        <f t="shared" si="74"/>
        <v>515066700.36118674</v>
      </c>
      <c r="O334" s="94">
        <f t="shared" si="74"/>
        <v>720495877.93558407</v>
      </c>
      <c r="P334" s="94">
        <f t="shared" si="74"/>
        <v>961423620.21759319</v>
      </c>
      <c r="Q334" s="94">
        <f t="shared" si="74"/>
        <v>1237494316.8604927</v>
      </c>
      <c r="R334" s="94">
        <f t="shared" si="74"/>
        <v>1548351038.7862236</v>
      </c>
      <c r="S334" s="94">
        <f t="shared" si="74"/>
        <v>1893635795.7479827</v>
      </c>
      <c r="T334" s="94">
        <f t="shared" si="74"/>
        <v>2272989781.7093105</v>
      </c>
      <c r="U334" s="94">
        <f t="shared" si="74"/>
        <v>2686053608.510859</v>
      </c>
      <c r="V334" s="94">
        <f t="shared" si="74"/>
        <v>3132467528.2790008</v>
      </c>
    </row>
    <row r="335" spans="1:23" x14ac:dyDescent="0.25">
      <c r="A335" s="20"/>
      <c r="B335" s="21">
        <f>IF(B334&gt;=0,0,1)</f>
        <v>1</v>
      </c>
      <c r="C335" s="21">
        <f>IF(C334&gt;=0,0,1)</f>
        <v>1</v>
      </c>
      <c r="D335" s="21">
        <f>IF(D334&gt;=0,0,1)</f>
        <v>1</v>
      </c>
      <c r="E335" s="21">
        <f>IF(E334&gt;=0,0,1)</f>
        <v>1</v>
      </c>
      <c r="F335" s="21">
        <f t="shared" ref="F335:V335" si="75">IF(F334&gt;=0,0,1)</f>
        <v>1</v>
      </c>
      <c r="G335" s="21">
        <f t="shared" si="75"/>
        <v>1</v>
      </c>
      <c r="H335" s="21">
        <f t="shared" si="75"/>
        <v>1</v>
      </c>
      <c r="I335" s="21">
        <f t="shared" si="75"/>
        <v>1</v>
      </c>
      <c r="J335" s="21">
        <f t="shared" si="75"/>
        <v>0</v>
      </c>
      <c r="K335" s="21">
        <f t="shared" si="75"/>
        <v>0</v>
      </c>
      <c r="L335" s="21">
        <f t="shared" si="75"/>
        <v>0</v>
      </c>
      <c r="M335" s="21">
        <f t="shared" si="75"/>
        <v>0</v>
      </c>
      <c r="N335" s="21">
        <f t="shared" si="75"/>
        <v>0</v>
      </c>
      <c r="O335" s="21">
        <f t="shared" si="75"/>
        <v>0</v>
      </c>
      <c r="P335" s="21">
        <f t="shared" si="75"/>
        <v>0</v>
      </c>
      <c r="Q335" s="21">
        <f t="shared" si="75"/>
        <v>0</v>
      </c>
      <c r="R335" s="21">
        <f t="shared" si="75"/>
        <v>0</v>
      </c>
      <c r="S335" s="21">
        <f t="shared" si="75"/>
        <v>0</v>
      </c>
      <c r="T335" s="21">
        <f t="shared" si="75"/>
        <v>0</v>
      </c>
      <c r="U335" s="21">
        <f t="shared" si="75"/>
        <v>0</v>
      </c>
      <c r="V335" s="21">
        <f t="shared" si="75"/>
        <v>0</v>
      </c>
    </row>
    <row r="336" spans="1:23" x14ac:dyDescent="0.25">
      <c r="A336" s="135" t="s">
        <v>257</v>
      </c>
      <c r="B336" s="132">
        <f>SUM(B335:V335)</f>
        <v>8</v>
      </c>
      <c r="C336" s="92" t="s">
        <v>260</v>
      </c>
      <c r="D336" s="20"/>
      <c r="E336" s="20"/>
      <c r="F336" s="20"/>
      <c r="G336" s="20"/>
      <c r="H336" s="20"/>
      <c r="I336" s="20"/>
      <c r="J336" s="20"/>
      <c r="K336" s="20"/>
      <c r="L336" s="20"/>
      <c r="M336" s="20"/>
      <c r="N336" s="20"/>
      <c r="O336" s="20"/>
      <c r="P336" s="20"/>
      <c r="Q336" s="20"/>
      <c r="R336" s="20"/>
      <c r="S336" s="20"/>
      <c r="T336" s="20"/>
      <c r="U336" s="20"/>
      <c r="V336" s="20"/>
    </row>
  </sheetData>
  <mergeCells count="9">
    <mergeCell ref="A60:H60"/>
    <mergeCell ref="A301:V301"/>
    <mergeCell ref="A306:V306"/>
    <mergeCell ref="E5:G5"/>
    <mergeCell ref="F6:G6"/>
    <mergeCell ref="F7:G7"/>
    <mergeCell ref="F8:G8"/>
    <mergeCell ref="A33:A34"/>
    <mergeCell ref="B33:D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Ayush Nath Ghimire</dc:creator>
  <cp:lastModifiedBy>Ayush Nath Ghimire</cp:lastModifiedBy>
  <dcterms:created xsi:type="dcterms:W3CDTF">2024-01-14T00:18:48Z</dcterms:created>
  <dcterms:modified xsi:type="dcterms:W3CDTF">2024-01-24T13:08:46Z</dcterms:modified>
</cp:coreProperties>
</file>