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anushikumarawela/Documents/Academics/Spring 2023/FMH606 Master's Thesis /Excel files /"/>
    </mc:Choice>
  </mc:AlternateContent>
  <xr:revisionPtr revIDLastSave="0" documentId="13_ncr:1_{1970E68A-C29D-0B4C-A815-603213D810F2}" xr6:coauthVersionLast="47" xr6:coauthVersionMax="47" xr10:uidLastSave="{00000000-0000-0000-0000-000000000000}"/>
  <bookViews>
    <workbookView xWindow="0" yWindow="500" windowWidth="28800" windowHeight="16260" xr2:uid="{45F57BD8-3785-2249-A18D-1345F0C50D0D}"/>
  </bookViews>
  <sheets>
    <sheet name="Conveying system input data" sheetId="1" r:id="rId1"/>
    <sheet name="Pipe line section data" sheetId="2" r:id="rId2"/>
    <sheet name="pressure drop calculations" sheetId="3" r:id="rId3"/>
    <sheet name="Sheet6" sheetId="9" r:id="rId4"/>
    <sheet name="Sheet7" sheetId="10" r:id="rId5"/>
    <sheet name="Sheet8" sheetId="11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11" l="1"/>
  <c r="A8" i="11"/>
  <c r="A19" i="11" s="1"/>
  <c r="A20" i="11" s="1"/>
  <c r="A28" i="10"/>
  <c r="A8" i="10"/>
  <c r="A19" i="10" s="1"/>
  <c r="A20" i="10" s="1"/>
  <c r="B5" i="1"/>
  <c r="A28" i="9"/>
  <c r="A19" i="9"/>
  <c r="A20" i="9" s="1"/>
  <c r="A8" i="9"/>
  <c r="B13" i="1"/>
  <c r="K31" i="1"/>
  <c r="H31" i="1" s="1"/>
  <c r="K30" i="1"/>
  <c r="H30" i="1" s="1"/>
  <c r="K29" i="1"/>
  <c r="K27" i="1"/>
  <c r="H27" i="1" s="1"/>
  <c r="K28" i="1"/>
  <c r="H28" i="1" s="1"/>
  <c r="D71" i="2"/>
  <c r="F59" i="2"/>
  <c r="F56" i="2"/>
  <c r="F55" i="2"/>
  <c r="F54" i="2"/>
  <c r="F53" i="2"/>
  <c r="F52" i="2"/>
  <c r="F49" i="2"/>
  <c r="F48" i="2"/>
  <c r="F47" i="2"/>
  <c r="F46" i="2"/>
  <c r="F43" i="2"/>
  <c r="F42" i="2"/>
  <c r="F41" i="2"/>
  <c r="F40" i="2"/>
  <c r="F39" i="2"/>
  <c r="F38" i="2"/>
  <c r="F34" i="2"/>
  <c r="F35" i="2"/>
  <c r="F33" i="2"/>
  <c r="F32" i="2"/>
  <c r="F31" i="2"/>
  <c r="F30" i="2"/>
  <c r="F29" i="2"/>
  <c r="F28" i="2"/>
  <c r="F27" i="2"/>
  <c r="F26" i="2"/>
  <c r="F22" i="2"/>
  <c r="F23" i="2"/>
  <c r="F67" i="2"/>
  <c r="F61" i="2"/>
  <c r="F58" i="2"/>
  <c r="F51" i="2"/>
  <c r="F44" i="2"/>
  <c r="F50" i="2" s="1"/>
  <c r="F57" i="2" s="1"/>
  <c r="F60" i="2" s="1"/>
  <c r="F66" i="2" s="1"/>
  <c r="F37" i="2"/>
  <c r="F36" i="2"/>
  <c r="A36" i="2"/>
  <c r="A37" i="2" s="1"/>
  <c r="A44" i="2" s="1"/>
  <c r="A45" i="2" s="1"/>
  <c r="A50" i="2" s="1"/>
  <c r="A51" i="2" s="1"/>
  <c r="A57" i="2" s="1"/>
  <c r="A58" i="2" s="1"/>
  <c r="A60" i="2" s="1"/>
  <c r="A61" i="2" s="1"/>
  <c r="A66" i="2" s="1"/>
  <c r="A67" i="2" s="1"/>
  <c r="F25" i="2"/>
  <c r="F24" i="2"/>
  <c r="G24" i="2" s="1"/>
  <c r="F21" i="2"/>
  <c r="G60" i="1"/>
  <c r="G59" i="1"/>
  <c r="G58" i="1"/>
  <c r="G57" i="1"/>
  <c r="G56" i="1"/>
  <c r="B56" i="1"/>
  <c r="G55" i="1"/>
  <c r="G54" i="1"/>
  <c r="G53" i="1"/>
  <c r="G52" i="1"/>
  <c r="K51" i="1"/>
  <c r="G51" i="1"/>
  <c r="B51" i="1"/>
  <c r="G46" i="1"/>
  <c r="G45" i="1"/>
  <c r="G44" i="1"/>
  <c r="G43" i="1"/>
  <c r="G42" i="1"/>
  <c r="B42" i="1"/>
  <c r="G41" i="1"/>
  <c r="G40" i="1"/>
  <c r="G39" i="1"/>
  <c r="G38" i="1"/>
  <c r="K37" i="1"/>
  <c r="G37" i="1"/>
  <c r="B37" i="1"/>
  <c r="G27" i="1"/>
  <c r="G28" i="1"/>
  <c r="G29" i="1"/>
  <c r="G30" i="1"/>
  <c r="G31" i="1"/>
  <c r="K26" i="1"/>
  <c r="F16" i="1"/>
  <c r="I51" i="1" s="1"/>
  <c r="J51" i="1" s="1"/>
  <c r="E16" i="1"/>
  <c r="I37" i="1" s="1"/>
  <c r="D16" i="1"/>
  <c r="I26" i="1" s="1"/>
  <c r="I29" i="1" s="1"/>
  <c r="C13" i="1"/>
  <c r="F15" i="1"/>
  <c r="E15" i="1"/>
  <c r="D15" i="1"/>
  <c r="F14" i="1"/>
  <c r="E14" i="1"/>
  <c r="D14" i="1"/>
  <c r="G26" i="1"/>
  <c r="B29" i="1"/>
  <c r="F8" i="2"/>
  <c r="F10" i="2" s="1"/>
  <c r="F12" i="2" s="1"/>
  <c r="F14" i="2" s="1"/>
  <c r="F16" i="2" s="1"/>
  <c r="F6" i="2"/>
  <c r="F4" i="2"/>
  <c r="B26" i="1"/>
  <c r="F19" i="1" s="1"/>
  <c r="B8" i="1"/>
  <c r="D13" i="2"/>
  <c r="F13" i="2" s="1"/>
  <c r="F11" i="2"/>
  <c r="D17" i="2"/>
  <c r="F17" i="2" s="1"/>
  <c r="D15" i="2"/>
  <c r="D9" i="2"/>
  <c r="F9" i="2" s="1"/>
  <c r="A8" i="3"/>
  <c r="A19" i="3" s="1"/>
  <c r="A20" i="3" s="1"/>
  <c r="A28" i="3" s="1"/>
  <c r="F7" i="2"/>
  <c r="F5" i="2"/>
  <c r="F3" i="2"/>
  <c r="G3" i="2" s="1"/>
  <c r="E3" i="2"/>
  <c r="E4" i="2" s="1"/>
  <c r="E5" i="2" s="1"/>
  <c r="E6" i="2" s="1"/>
  <c r="E24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C4" i="10" l="1"/>
  <c r="C4" i="9"/>
  <c r="E19" i="1"/>
  <c r="C4" i="11"/>
  <c r="D19" i="1"/>
  <c r="F18" i="1"/>
  <c r="F17" i="1"/>
  <c r="E17" i="1"/>
  <c r="D18" i="1"/>
  <c r="E18" i="1"/>
  <c r="D17" i="1"/>
  <c r="J26" i="1"/>
  <c r="J29" i="1" s="1"/>
  <c r="H29" i="1" s="1"/>
  <c r="H51" i="1"/>
  <c r="D51" i="1"/>
  <c r="E51" i="1" s="1"/>
  <c r="F51" i="1" s="1"/>
  <c r="D54" i="1"/>
  <c r="E54" i="1" s="1"/>
  <c r="F54" i="1" s="1"/>
  <c r="D59" i="1"/>
  <c r="E59" i="1" s="1"/>
  <c r="F59" i="1" s="1"/>
  <c r="D44" i="1"/>
  <c r="E44" i="1" s="1"/>
  <c r="F44" i="1" s="1"/>
  <c r="D55" i="1"/>
  <c r="E55" i="1" s="1"/>
  <c r="F55" i="1" s="1"/>
  <c r="D56" i="1"/>
  <c r="E56" i="1" s="1"/>
  <c r="F56" i="1" s="1"/>
  <c r="D60" i="1"/>
  <c r="E60" i="1" s="1"/>
  <c r="F60" i="1" s="1"/>
  <c r="D52" i="1"/>
  <c r="E52" i="1" s="1"/>
  <c r="F52" i="1" s="1"/>
  <c r="D39" i="1"/>
  <c r="E39" i="1" s="1"/>
  <c r="F39" i="1" s="1"/>
  <c r="D57" i="1"/>
  <c r="E57" i="1" s="1"/>
  <c r="F57" i="1" s="1"/>
  <c r="D53" i="1"/>
  <c r="E53" i="1" s="1"/>
  <c r="F53" i="1" s="1"/>
  <c r="D58" i="1"/>
  <c r="E58" i="1" s="1"/>
  <c r="F58" i="1" s="1"/>
  <c r="G35" i="2"/>
  <c r="G36" i="2" s="1"/>
  <c r="G43" i="2" s="1"/>
  <c r="G44" i="2" s="1"/>
  <c r="E21" i="2"/>
  <c r="D18" i="2"/>
  <c r="F15" i="2"/>
  <c r="F45" i="2"/>
  <c r="D40" i="1"/>
  <c r="E40" i="1" s="1"/>
  <c r="F40" i="1" s="1"/>
  <c r="D46" i="1"/>
  <c r="E46" i="1" s="1"/>
  <c r="F46" i="1" s="1"/>
  <c r="D42" i="1"/>
  <c r="E42" i="1" s="1"/>
  <c r="F42" i="1" s="1"/>
  <c r="D41" i="1"/>
  <c r="E41" i="1" s="1"/>
  <c r="F41" i="1" s="1"/>
  <c r="D43" i="1"/>
  <c r="E43" i="1" s="1"/>
  <c r="F43" i="1" s="1"/>
  <c r="D37" i="1"/>
  <c r="E37" i="1" s="1"/>
  <c r="F37" i="1" s="1"/>
  <c r="D45" i="1"/>
  <c r="E45" i="1" s="1"/>
  <c r="F45" i="1" s="1"/>
  <c r="D38" i="1"/>
  <c r="E38" i="1" s="1"/>
  <c r="F38" i="1" s="1"/>
  <c r="D26" i="1"/>
  <c r="D28" i="1"/>
  <c r="D31" i="1"/>
  <c r="E31" i="1" s="1"/>
  <c r="F31" i="1" s="1"/>
  <c r="D30" i="1"/>
  <c r="E30" i="1" s="1"/>
  <c r="F30" i="1" s="1"/>
  <c r="D27" i="1"/>
  <c r="E27" i="1" s="1"/>
  <c r="F27" i="1" s="1"/>
  <c r="D29" i="1"/>
  <c r="E29" i="1" s="1"/>
  <c r="F29" i="1" s="1"/>
  <c r="G4" i="2"/>
  <c r="G5" i="2" s="1"/>
  <c r="G6" i="2" s="1"/>
  <c r="G7" i="2" s="1"/>
  <c r="G8" i="2" s="1"/>
  <c r="G9" i="2" s="1"/>
  <c r="G10" i="2" s="1"/>
  <c r="G11" i="2" s="1"/>
  <c r="E8" i="2"/>
  <c r="E7" i="2"/>
  <c r="E9" i="2" l="1"/>
  <c r="E11" i="2" s="1"/>
  <c r="E25" i="2"/>
  <c r="G49" i="2"/>
  <c r="G50" i="2" s="1"/>
  <c r="G56" i="2" s="1"/>
  <c r="G57" i="2" s="1"/>
  <c r="G59" i="2" s="1"/>
  <c r="G60" i="2" s="1"/>
  <c r="G65" i="2" s="1"/>
  <c r="G66" i="2" s="1"/>
  <c r="G70" i="2" s="1"/>
  <c r="E28" i="1"/>
  <c r="F28" i="1" s="1"/>
  <c r="J37" i="1"/>
  <c r="H37" i="1" s="1"/>
  <c r="E26" i="1"/>
  <c r="E10" i="2"/>
  <c r="G12" i="2"/>
  <c r="G13" i="2" s="1"/>
  <c r="G14" i="2" s="1"/>
  <c r="G15" i="2" s="1"/>
  <c r="G16" i="2" s="1"/>
  <c r="G17" i="2" s="1"/>
  <c r="H26" i="1"/>
  <c r="B53" i="11" l="1"/>
  <c r="B45" i="11"/>
  <c r="B37" i="11"/>
  <c r="B29" i="11"/>
  <c r="B22" i="11"/>
  <c r="B14" i="11"/>
  <c r="B7" i="11"/>
  <c r="B43" i="11"/>
  <c r="B20" i="11"/>
  <c r="B5" i="11"/>
  <c r="B50" i="11"/>
  <c r="B42" i="11"/>
  <c r="B27" i="11"/>
  <c r="B11" i="11"/>
  <c r="B41" i="11"/>
  <c r="B10" i="11"/>
  <c r="B48" i="11"/>
  <c r="B25" i="11"/>
  <c r="B52" i="11"/>
  <c r="B44" i="11"/>
  <c r="B36" i="11"/>
  <c r="B28" i="11"/>
  <c r="B21" i="11"/>
  <c r="B13" i="11"/>
  <c r="B6" i="11"/>
  <c r="B51" i="11"/>
  <c r="B35" i="11"/>
  <c r="B12" i="11"/>
  <c r="B19" i="11"/>
  <c r="B49" i="11"/>
  <c r="B33" i="11"/>
  <c r="B26" i="11"/>
  <c r="B40" i="11"/>
  <c r="B9" i="11"/>
  <c r="B17" i="11"/>
  <c r="B47" i="11"/>
  <c r="B39" i="11"/>
  <c r="B31" i="11"/>
  <c r="B24" i="11"/>
  <c r="B16" i="11"/>
  <c r="B8" i="11"/>
  <c r="B4" i="11"/>
  <c r="B46" i="11"/>
  <c r="B38" i="11"/>
  <c r="B30" i="11"/>
  <c r="B23" i="11"/>
  <c r="B15" i="11"/>
  <c r="B34" i="11"/>
  <c r="B18" i="11"/>
  <c r="B32" i="11"/>
  <c r="B53" i="10"/>
  <c r="B45" i="10"/>
  <c r="B37" i="10"/>
  <c r="B29" i="10"/>
  <c r="B22" i="10"/>
  <c r="B14" i="10"/>
  <c r="B7" i="10"/>
  <c r="B52" i="10"/>
  <c r="B44" i="10"/>
  <c r="B36" i="10"/>
  <c r="B28" i="10"/>
  <c r="B21" i="10"/>
  <c r="B13" i="10"/>
  <c r="B6" i="10"/>
  <c r="B51" i="10"/>
  <c r="B43" i="10"/>
  <c r="B35" i="10"/>
  <c r="B20" i="10"/>
  <c r="B12" i="10"/>
  <c r="B5" i="10"/>
  <c r="B50" i="10"/>
  <c r="B42" i="10"/>
  <c r="B27" i="10"/>
  <c r="B19" i="10"/>
  <c r="B11" i="10"/>
  <c r="B49" i="10"/>
  <c r="B33" i="10"/>
  <c r="B18" i="10"/>
  <c r="B40" i="10"/>
  <c r="B25" i="10"/>
  <c r="B17" i="10"/>
  <c r="B47" i="10"/>
  <c r="B39" i="10"/>
  <c r="B31" i="10"/>
  <c r="B24" i="10"/>
  <c r="B8" i="10"/>
  <c r="B38" i="10"/>
  <c r="B23" i="10"/>
  <c r="B15" i="10"/>
  <c r="B34" i="10"/>
  <c r="B41" i="10"/>
  <c r="B26" i="10"/>
  <c r="B10" i="10"/>
  <c r="B48" i="10"/>
  <c r="B32" i="10"/>
  <c r="B9" i="10"/>
  <c r="B16" i="10"/>
  <c r="B4" i="10"/>
  <c r="B46" i="10"/>
  <c r="B30" i="10"/>
  <c r="B46" i="9"/>
  <c r="B40" i="9"/>
  <c r="B22" i="9"/>
  <c r="B15" i="9"/>
  <c r="B11" i="9"/>
  <c r="B42" i="9"/>
  <c r="B25" i="9"/>
  <c r="B48" i="9"/>
  <c r="B24" i="9"/>
  <c r="B47" i="9"/>
  <c r="B29" i="9"/>
  <c r="B8" i="9"/>
  <c r="B53" i="9"/>
  <c r="B45" i="9"/>
  <c r="B39" i="9"/>
  <c r="B32" i="9"/>
  <c r="B28" i="9"/>
  <c r="B21" i="9"/>
  <c r="B14" i="9"/>
  <c r="B7" i="9"/>
  <c r="B43" i="9"/>
  <c r="B27" i="9"/>
  <c r="B12" i="9"/>
  <c r="B50" i="9"/>
  <c r="B49" i="9"/>
  <c r="B30" i="9"/>
  <c r="B10" i="9"/>
  <c r="B17" i="9"/>
  <c r="B52" i="9"/>
  <c r="B44" i="9"/>
  <c r="B38" i="9"/>
  <c r="B20" i="9"/>
  <c r="B13" i="9"/>
  <c r="B6" i="9"/>
  <c r="B37" i="9"/>
  <c r="B31" i="9"/>
  <c r="B19" i="9"/>
  <c r="B5" i="9"/>
  <c r="B26" i="9"/>
  <c r="B35" i="9"/>
  <c r="B18" i="9"/>
  <c r="B9" i="9"/>
  <c r="B41" i="9"/>
  <c r="B23" i="9"/>
  <c r="B4" i="9"/>
  <c r="B51" i="9"/>
  <c r="B36" i="9"/>
  <c r="B34" i="9"/>
  <c r="B33" i="9"/>
  <c r="B16" i="9"/>
  <c r="B50" i="3"/>
  <c r="B10" i="3"/>
  <c r="B53" i="3"/>
  <c r="B11" i="3"/>
  <c r="B39" i="3"/>
  <c r="B12" i="3"/>
  <c r="B32" i="3"/>
  <c r="B17" i="3"/>
  <c r="B46" i="3"/>
  <c r="B33" i="3"/>
  <c r="B18" i="3"/>
  <c r="B47" i="3"/>
  <c r="B34" i="3"/>
  <c r="B4" i="3"/>
  <c r="B48" i="3"/>
  <c r="B19" i="3"/>
  <c r="B49" i="3"/>
  <c r="B27" i="3"/>
  <c r="B31" i="3"/>
  <c r="B13" i="3"/>
  <c r="B36" i="3"/>
  <c r="B37" i="3"/>
  <c r="B42" i="3"/>
  <c r="B23" i="3"/>
  <c r="B20" i="3"/>
  <c r="B35" i="3"/>
  <c r="B9" i="3"/>
  <c r="B51" i="3"/>
  <c r="B5" i="3"/>
  <c r="B7" i="3"/>
  <c r="P4" i="11" s="1"/>
  <c r="B29" i="3"/>
  <c r="B30" i="3"/>
  <c r="B8" i="3"/>
  <c r="B16" i="3"/>
  <c r="B22" i="3"/>
  <c r="B6" i="3"/>
  <c r="B14" i="3"/>
  <c r="B43" i="3"/>
  <c r="B41" i="3"/>
  <c r="B52" i="3"/>
  <c r="B40" i="3"/>
  <c r="B38" i="3"/>
  <c r="B21" i="3"/>
  <c r="B24" i="3"/>
  <c r="B25" i="3"/>
  <c r="B45" i="3"/>
  <c r="B44" i="3"/>
  <c r="B26" i="3"/>
  <c r="B15" i="3"/>
  <c r="B28" i="3"/>
  <c r="C4" i="3"/>
  <c r="F26" i="1"/>
  <c r="D4" i="11" s="1"/>
  <c r="E12" i="2"/>
  <c r="E13" i="2"/>
  <c r="H4" i="11" l="1"/>
  <c r="K4" i="11" s="1"/>
  <c r="P4" i="9"/>
  <c r="P4" i="10"/>
  <c r="D4" i="9"/>
  <c r="H4" i="9" s="1"/>
  <c r="K4" i="9" s="1"/>
  <c r="D4" i="10"/>
  <c r="H4" i="10" s="1"/>
  <c r="K4" i="10" s="1"/>
  <c r="D4" i="3"/>
  <c r="P4" i="3"/>
  <c r="E15" i="2"/>
  <c r="E14" i="2"/>
  <c r="M4" i="11" l="1"/>
  <c r="J5" i="11"/>
  <c r="M4" i="10"/>
  <c r="J5" i="10"/>
  <c r="M4" i="9"/>
  <c r="J5" i="9"/>
  <c r="E16" i="2"/>
  <c r="E17" i="2"/>
  <c r="L5" i="11" l="1"/>
  <c r="O4" i="11"/>
  <c r="N5" i="11" s="1"/>
  <c r="O4" i="10"/>
  <c r="N5" i="10" s="1"/>
  <c r="L5" i="10"/>
  <c r="D5" i="10" s="1"/>
  <c r="L5" i="9"/>
  <c r="O4" i="9"/>
  <c r="N5" i="9" s="1"/>
  <c r="H4" i="3"/>
  <c r="P5" i="11" l="1"/>
  <c r="C5" i="11"/>
  <c r="D5" i="11"/>
  <c r="C5" i="10"/>
  <c r="H5" i="10" s="1"/>
  <c r="K5" i="10" s="1"/>
  <c r="M5" i="10" s="1"/>
  <c r="P5" i="10"/>
  <c r="P5" i="9"/>
  <c r="C5" i="9"/>
  <c r="D5" i="9"/>
  <c r="K4" i="3"/>
  <c r="J5" i="3" s="1"/>
  <c r="J6" i="10" l="1"/>
  <c r="H5" i="11"/>
  <c r="K5" i="11" s="1"/>
  <c r="L6" i="10"/>
  <c r="O5" i="10"/>
  <c r="N6" i="10" s="1"/>
  <c r="H5" i="9"/>
  <c r="K5" i="9" s="1"/>
  <c r="M5" i="9" s="1"/>
  <c r="M4" i="3"/>
  <c r="L5" i="3" s="1"/>
  <c r="M5" i="11" l="1"/>
  <c r="J6" i="11"/>
  <c r="P6" i="10"/>
  <c r="C6" i="10"/>
  <c r="D6" i="10"/>
  <c r="J6" i="9"/>
  <c r="L6" i="9"/>
  <c r="O5" i="9"/>
  <c r="N6" i="9" s="1"/>
  <c r="O4" i="3"/>
  <c r="L6" i="11" l="1"/>
  <c r="O5" i="11"/>
  <c r="N6" i="11" s="1"/>
  <c r="H6" i="10"/>
  <c r="P6" i="9"/>
  <c r="C6" i="9"/>
  <c r="D6" i="9"/>
  <c r="N5" i="3"/>
  <c r="D5" i="3" s="1"/>
  <c r="P6" i="11" l="1"/>
  <c r="C6" i="11"/>
  <c r="D6" i="11"/>
  <c r="K6" i="10"/>
  <c r="H6" i="9"/>
  <c r="P5" i="3"/>
  <c r="C5" i="3"/>
  <c r="H5" i="3" s="1"/>
  <c r="H6" i="11" l="1"/>
  <c r="K6" i="11" s="1"/>
  <c r="J7" i="11" s="1"/>
  <c r="M6" i="10"/>
  <c r="J7" i="10"/>
  <c r="K6" i="9"/>
  <c r="K5" i="3"/>
  <c r="M6" i="11" l="1"/>
  <c r="L7" i="11" s="1"/>
  <c r="L7" i="10"/>
  <c r="O6" i="10"/>
  <c r="N7" i="10" s="1"/>
  <c r="M6" i="9"/>
  <c r="J7" i="9"/>
  <c r="M5" i="3"/>
  <c r="J6" i="3"/>
  <c r="O6" i="11" l="1"/>
  <c r="N7" i="11" s="1"/>
  <c r="P7" i="11" s="1"/>
  <c r="P7" i="10"/>
  <c r="C7" i="10"/>
  <c r="D7" i="10"/>
  <c r="L7" i="9"/>
  <c r="O6" i="9"/>
  <c r="N7" i="9" s="1"/>
  <c r="O5" i="3"/>
  <c r="N6" i="3" s="1"/>
  <c r="L6" i="3"/>
  <c r="C7" i="11" l="1"/>
  <c r="D7" i="11"/>
  <c r="H7" i="11" s="1"/>
  <c r="H7" i="10"/>
  <c r="P7" i="9"/>
  <c r="C7" i="9"/>
  <c r="D7" i="9"/>
  <c r="D6" i="3"/>
  <c r="P6" i="3"/>
  <c r="C6" i="3"/>
  <c r="K7" i="11" l="1"/>
  <c r="K7" i="10"/>
  <c r="H7" i="9"/>
  <c r="H6" i="3"/>
  <c r="K6" i="3" l="1"/>
  <c r="J7" i="3" s="1"/>
  <c r="M7" i="11"/>
  <c r="J8" i="11"/>
  <c r="M7" i="10"/>
  <c r="J8" i="10"/>
  <c r="K7" i="9"/>
  <c r="M6" i="3" l="1"/>
  <c r="O6" i="3" s="1"/>
  <c r="N7" i="3" s="1"/>
  <c r="L8" i="11"/>
  <c r="O7" i="11"/>
  <c r="N8" i="11" s="1"/>
  <c r="L8" i="10"/>
  <c r="O7" i="10"/>
  <c r="N8" i="10" s="1"/>
  <c r="M7" i="9"/>
  <c r="J8" i="9"/>
  <c r="L7" i="3"/>
  <c r="D7" i="3" s="1"/>
  <c r="C7" i="3"/>
  <c r="P8" i="11" l="1"/>
  <c r="C8" i="11"/>
  <c r="D8" i="11"/>
  <c r="P8" i="10"/>
  <c r="C8" i="10"/>
  <c r="D8" i="10"/>
  <c r="L8" i="9"/>
  <c r="O7" i="9"/>
  <c r="N8" i="9" s="1"/>
  <c r="P7" i="3"/>
  <c r="H7" i="3"/>
  <c r="K7" i="3" s="1"/>
  <c r="M7" i="3" s="1"/>
  <c r="L8" i="3" s="1"/>
  <c r="H8" i="11" l="1"/>
  <c r="H8" i="10"/>
  <c r="P8" i="9"/>
  <c r="C8" i="9"/>
  <c r="D8" i="9"/>
  <c r="J8" i="3"/>
  <c r="O7" i="3"/>
  <c r="N8" i="3" s="1"/>
  <c r="C8" i="3" s="1"/>
  <c r="K8" i="11" l="1"/>
  <c r="K8" i="10"/>
  <c r="H8" i="9"/>
  <c r="P8" i="3"/>
  <c r="D8" i="3"/>
  <c r="H8" i="3" s="1"/>
  <c r="K8" i="3" s="1"/>
  <c r="M8" i="3" s="1"/>
  <c r="O8" i="3" s="1"/>
  <c r="N9" i="3" s="1"/>
  <c r="M8" i="11" l="1"/>
  <c r="J9" i="11"/>
  <c r="M8" i="10"/>
  <c r="J9" i="10"/>
  <c r="K8" i="9"/>
  <c r="L9" i="3"/>
  <c r="D9" i="3" s="1"/>
  <c r="J9" i="3"/>
  <c r="C9" i="3"/>
  <c r="L9" i="11" l="1"/>
  <c r="O8" i="11"/>
  <c r="N9" i="11" s="1"/>
  <c r="L9" i="10"/>
  <c r="O8" i="10"/>
  <c r="N9" i="10" s="1"/>
  <c r="M8" i="9"/>
  <c r="J9" i="9"/>
  <c r="P9" i="3"/>
  <c r="H9" i="3"/>
  <c r="K9" i="3" s="1"/>
  <c r="M9" i="3" s="1"/>
  <c r="D9" i="11" l="1"/>
  <c r="C9" i="11"/>
  <c r="H9" i="11" s="1"/>
  <c r="K9" i="11" s="1"/>
  <c r="P9" i="11"/>
  <c r="P9" i="10"/>
  <c r="C9" i="10"/>
  <c r="D9" i="10"/>
  <c r="L9" i="9"/>
  <c r="O8" i="9"/>
  <c r="N9" i="9" s="1"/>
  <c r="J10" i="3"/>
  <c r="O9" i="3"/>
  <c r="N10" i="3" s="1"/>
  <c r="L10" i="3"/>
  <c r="J10" i="11" l="1"/>
  <c r="M9" i="11"/>
  <c r="H9" i="10"/>
  <c r="K9" i="10" s="1"/>
  <c r="C9" i="9"/>
  <c r="P9" i="9"/>
  <c r="D9" i="9"/>
  <c r="P10" i="3"/>
  <c r="D10" i="3"/>
  <c r="C10" i="3"/>
  <c r="L10" i="11" l="1"/>
  <c r="O9" i="11"/>
  <c r="N10" i="11" s="1"/>
  <c r="J10" i="10"/>
  <c r="M9" i="10"/>
  <c r="H9" i="9"/>
  <c r="K9" i="9" s="1"/>
  <c r="H10" i="3"/>
  <c r="P10" i="11" l="1"/>
  <c r="C10" i="11"/>
  <c r="D10" i="11"/>
  <c r="L10" i="10"/>
  <c r="O9" i="10"/>
  <c r="N10" i="10" s="1"/>
  <c r="J10" i="9"/>
  <c r="M9" i="9"/>
  <c r="K10" i="3"/>
  <c r="M10" i="3" s="1"/>
  <c r="H10" i="11" l="1"/>
  <c r="K10" i="11" s="1"/>
  <c r="P10" i="10"/>
  <c r="C10" i="10"/>
  <c r="D10" i="10"/>
  <c r="L10" i="9"/>
  <c r="O9" i="9"/>
  <c r="N10" i="9" s="1"/>
  <c r="J11" i="3"/>
  <c r="O10" i="3"/>
  <c r="N11" i="3" s="1"/>
  <c r="L11" i="3"/>
  <c r="M10" i="11" l="1"/>
  <c r="J11" i="11"/>
  <c r="H10" i="10"/>
  <c r="K10" i="10" s="1"/>
  <c r="P10" i="9"/>
  <c r="C10" i="9"/>
  <c r="D10" i="9"/>
  <c r="P11" i="3"/>
  <c r="D11" i="3"/>
  <c r="C11" i="3"/>
  <c r="L11" i="11" l="1"/>
  <c r="O10" i="11"/>
  <c r="N11" i="11" s="1"/>
  <c r="J11" i="10"/>
  <c r="M10" i="10"/>
  <c r="H10" i="9"/>
  <c r="K10" i="9" s="1"/>
  <c r="M10" i="9" s="1"/>
  <c r="H11" i="3"/>
  <c r="P11" i="11" l="1"/>
  <c r="C11" i="11"/>
  <c r="D11" i="11"/>
  <c r="L11" i="10"/>
  <c r="O10" i="10"/>
  <c r="N11" i="10" s="1"/>
  <c r="J11" i="9"/>
  <c r="L11" i="9"/>
  <c r="O10" i="9"/>
  <c r="N11" i="9" s="1"/>
  <c r="K11" i="3"/>
  <c r="M11" i="3" s="1"/>
  <c r="H11" i="11" l="1"/>
  <c r="K11" i="11" s="1"/>
  <c r="P11" i="10"/>
  <c r="C11" i="10"/>
  <c r="D11" i="10"/>
  <c r="D11" i="9"/>
  <c r="P11" i="9"/>
  <c r="C11" i="9"/>
  <c r="J12" i="3"/>
  <c r="O11" i="3"/>
  <c r="N12" i="3" s="1"/>
  <c r="L12" i="3"/>
  <c r="H11" i="9" l="1"/>
  <c r="K11" i="9" s="1"/>
  <c r="J12" i="9" s="1"/>
  <c r="M11" i="11"/>
  <c r="J12" i="11"/>
  <c r="H11" i="10"/>
  <c r="K11" i="10" s="1"/>
  <c r="P12" i="3"/>
  <c r="D12" i="3"/>
  <c r="C12" i="3"/>
  <c r="M11" i="9" l="1"/>
  <c r="L12" i="11"/>
  <c r="O11" i="11"/>
  <c r="N12" i="11" s="1"/>
  <c r="J12" i="10"/>
  <c r="M11" i="10"/>
  <c r="L12" i="9"/>
  <c r="O11" i="9"/>
  <c r="N12" i="9" s="1"/>
  <c r="H12" i="3"/>
  <c r="D12" i="11" l="1"/>
  <c r="C12" i="11"/>
  <c r="P12" i="11"/>
  <c r="L12" i="10"/>
  <c r="O11" i="10"/>
  <c r="N12" i="10" s="1"/>
  <c r="P12" i="9"/>
  <c r="C12" i="9"/>
  <c r="D12" i="9"/>
  <c r="K12" i="3"/>
  <c r="M12" i="3" s="1"/>
  <c r="H12" i="11" l="1"/>
  <c r="K12" i="11" s="1"/>
  <c r="J13" i="11" s="1"/>
  <c r="D12" i="10"/>
  <c r="P12" i="10"/>
  <c r="C12" i="10"/>
  <c r="H12" i="10" s="1"/>
  <c r="K12" i="10" s="1"/>
  <c r="H12" i="9"/>
  <c r="K12" i="9" s="1"/>
  <c r="J13" i="3"/>
  <c r="O12" i="3"/>
  <c r="N13" i="3" s="1"/>
  <c r="L13" i="3"/>
  <c r="M12" i="11" l="1"/>
  <c r="L13" i="11" s="1"/>
  <c r="O12" i="11"/>
  <c r="N13" i="11" s="1"/>
  <c r="J13" i="10"/>
  <c r="M12" i="10"/>
  <c r="J13" i="9"/>
  <c r="M12" i="9"/>
  <c r="P13" i="3"/>
  <c r="D13" i="3"/>
  <c r="C13" i="3"/>
  <c r="C13" i="11" l="1"/>
  <c r="P13" i="11"/>
  <c r="D13" i="11"/>
  <c r="L13" i="10"/>
  <c r="O12" i="10"/>
  <c r="N13" i="10" s="1"/>
  <c r="L13" i="9"/>
  <c r="O12" i="9"/>
  <c r="N13" i="9" s="1"/>
  <c r="H13" i="3"/>
  <c r="H13" i="11" l="1"/>
  <c r="K13" i="11" s="1"/>
  <c r="J14" i="11"/>
  <c r="M13" i="11"/>
  <c r="P13" i="10"/>
  <c r="C13" i="10"/>
  <c r="D13" i="10"/>
  <c r="D13" i="9"/>
  <c r="P13" i="9"/>
  <c r="C13" i="9"/>
  <c r="K13" i="3"/>
  <c r="M13" i="3" s="1"/>
  <c r="H13" i="9" l="1"/>
  <c r="K13" i="9" s="1"/>
  <c r="J14" i="9" s="1"/>
  <c r="L14" i="11"/>
  <c r="O13" i="11"/>
  <c r="N14" i="11" s="1"/>
  <c r="H13" i="10"/>
  <c r="K13" i="10" s="1"/>
  <c r="M13" i="9"/>
  <c r="J14" i="3"/>
  <c r="O13" i="3"/>
  <c r="N14" i="3" s="1"/>
  <c r="L14" i="3"/>
  <c r="C14" i="11" l="1"/>
  <c r="P14" i="11"/>
  <c r="D14" i="11"/>
  <c r="J14" i="10"/>
  <c r="M13" i="10"/>
  <c r="L14" i="9"/>
  <c r="O13" i="9"/>
  <c r="N14" i="9" s="1"/>
  <c r="P14" i="3"/>
  <c r="D14" i="3"/>
  <c r="C14" i="3"/>
  <c r="H14" i="11" l="1"/>
  <c r="K14" i="11" s="1"/>
  <c r="L14" i="10"/>
  <c r="O13" i="10"/>
  <c r="N14" i="10" s="1"/>
  <c r="D14" i="9"/>
  <c r="C14" i="9"/>
  <c r="P14" i="9"/>
  <c r="H14" i="3"/>
  <c r="H14" i="9" l="1"/>
  <c r="K14" i="9" s="1"/>
  <c r="M14" i="9" s="1"/>
  <c r="J15" i="11"/>
  <c r="M14" i="11"/>
  <c r="C14" i="10"/>
  <c r="P14" i="10"/>
  <c r="D14" i="10"/>
  <c r="J15" i="9"/>
  <c r="K14" i="3"/>
  <c r="M14" i="3" s="1"/>
  <c r="L15" i="11" l="1"/>
  <c r="O14" i="11"/>
  <c r="N15" i="11" s="1"/>
  <c r="H14" i="10"/>
  <c r="K14" i="10" s="1"/>
  <c r="L15" i="9"/>
  <c r="O14" i="9"/>
  <c r="N15" i="9" s="1"/>
  <c r="J15" i="3"/>
  <c r="O14" i="3"/>
  <c r="N15" i="3" s="1"/>
  <c r="L15" i="3"/>
  <c r="C15" i="11" l="1"/>
  <c r="P15" i="11"/>
  <c r="D15" i="11"/>
  <c r="M14" i="10"/>
  <c r="J15" i="10"/>
  <c r="P15" i="9"/>
  <c r="C15" i="9"/>
  <c r="D15" i="9"/>
  <c r="P15" i="3"/>
  <c r="D15" i="3"/>
  <c r="C15" i="3"/>
  <c r="H15" i="11" l="1"/>
  <c r="K15" i="11" s="1"/>
  <c r="L15" i="10"/>
  <c r="O14" i="10"/>
  <c r="N15" i="10" s="1"/>
  <c r="H15" i="9"/>
  <c r="K15" i="9" s="1"/>
  <c r="H15" i="3"/>
  <c r="J16" i="11" l="1"/>
  <c r="M15" i="11"/>
  <c r="C15" i="10"/>
  <c r="P15" i="10"/>
  <c r="D15" i="10"/>
  <c r="J16" i="9"/>
  <c r="M15" i="9"/>
  <c r="K15" i="3"/>
  <c r="M15" i="3" s="1"/>
  <c r="L16" i="11" l="1"/>
  <c r="O15" i="11"/>
  <c r="N16" i="11" s="1"/>
  <c r="H15" i="10"/>
  <c r="K15" i="10" s="1"/>
  <c r="L16" i="9"/>
  <c r="O15" i="9"/>
  <c r="N16" i="9" s="1"/>
  <c r="J16" i="3"/>
  <c r="O15" i="3"/>
  <c r="N16" i="3" s="1"/>
  <c r="L16" i="3"/>
  <c r="P16" i="11" l="1"/>
  <c r="C16" i="11"/>
  <c r="D16" i="11"/>
  <c r="J16" i="10"/>
  <c r="M15" i="10"/>
  <c r="P16" i="9"/>
  <c r="C16" i="9"/>
  <c r="D16" i="9"/>
  <c r="P16" i="3"/>
  <c r="D16" i="3"/>
  <c r="C16" i="3"/>
  <c r="H16" i="11" l="1"/>
  <c r="K16" i="11" s="1"/>
  <c r="M16" i="11" s="1"/>
  <c r="L16" i="10"/>
  <c r="O15" i="10"/>
  <c r="N16" i="10" s="1"/>
  <c r="H16" i="9"/>
  <c r="K16" i="9" s="1"/>
  <c r="H16" i="3"/>
  <c r="K16" i="3" s="1"/>
  <c r="J17" i="11" l="1"/>
  <c r="L17" i="11"/>
  <c r="O16" i="11"/>
  <c r="N17" i="11" s="1"/>
  <c r="P16" i="10"/>
  <c r="C16" i="10"/>
  <c r="D16" i="10"/>
  <c r="J17" i="9"/>
  <c r="M16" i="9"/>
  <c r="J17" i="3"/>
  <c r="M16" i="3"/>
  <c r="O16" i="3" s="1"/>
  <c r="P17" i="11" l="1"/>
  <c r="D17" i="11"/>
  <c r="H17" i="11" s="1"/>
  <c r="K17" i="11" s="1"/>
  <c r="H16" i="10"/>
  <c r="K16" i="10" s="1"/>
  <c r="L17" i="9"/>
  <c r="O16" i="9"/>
  <c r="N17" i="9" s="1"/>
  <c r="L17" i="3"/>
  <c r="N17" i="3"/>
  <c r="J18" i="11" l="1"/>
  <c r="M17" i="11"/>
  <c r="J17" i="10"/>
  <c r="M16" i="10"/>
  <c r="P17" i="9"/>
  <c r="D17" i="9"/>
  <c r="H17" i="9" s="1"/>
  <c r="K17" i="9" s="1"/>
  <c r="P17" i="3"/>
  <c r="D17" i="3"/>
  <c r="H17" i="3" s="1"/>
  <c r="L18" i="11" l="1"/>
  <c r="O17" i="11"/>
  <c r="N18" i="11" s="1"/>
  <c r="L17" i="10"/>
  <c r="O16" i="10"/>
  <c r="N17" i="10" s="1"/>
  <c r="J18" i="9"/>
  <c r="M17" i="9"/>
  <c r="K17" i="3"/>
  <c r="M17" i="3" s="1"/>
  <c r="P18" i="11" l="1"/>
  <c r="C18" i="11"/>
  <c r="D18" i="11"/>
  <c r="P17" i="10"/>
  <c r="D17" i="10"/>
  <c r="H17" i="10" s="1"/>
  <c r="K17" i="10" s="1"/>
  <c r="L18" i="9"/>
  <c r="O17" i="9"/>
  <c r="N18" i="9" s="1"/>
  <c r="J18" i="3"/>
  <c r="O17" i="3"/>
  <c r="N18" i="3" s="1"/>
  <c r="C18" i="3" s="1"/>
  <c r="L18" i="3"/>
  <c r="H18" i="11" l="1"/>
  <c r="K18" i="11" s="1"/>
  <c r="M17" i="10"/>
  <c r="J18" i="10"/>
  <c r="C18" i="9"/>
  <c r="P18" i="9"/>
  <c r="D18" i="9"/>
  <c r="D18" i="3"/>
  <c r="H18" i="3" s="1"/>
  <c r="P18" i="3"/>
  <c r="M18" i="11" l="1"/>
  <c r="J19" i="11"/>
  <c r="L18" i="10"/>
  <c r="O17" i="10"/>
  <c r="N18" i="10" s="1"/>
  <c r="H18" i="9"/>
  <c r="K18" i="9" s="1"/>
  <c r="K18" i="3"/>
  <c r="M18" i="3" s="1"/>
  <c r="L19" i="11" l="1"/>
  <c r="O18" i="11"/>
  <c r="N19" i="11" s="1"/>
  <c r="C18" i="10"/>
  <c r="P18" i="10"/>
  <c r="D18" i="10"/>
  <c r="M18" i="9"/>
  <c r="J19" i="9"/>
  <c r="J19" i="3"/>
  <c r="L19" i="3"/>
  <c r="O18" i="3"/>
  <c r="N19" i="3" s="1"/>
  <c r="P19" i="3" l="1"/>
  <c r="P19" i="11"/>
  <c r="C19" i="11"/>
  <c r="D19" i="11"/>
  <c r="H18" i="10"/>
  <c r="K18" i="10" s="1"/>
  <c r="L19" i="9"/>
  <c r="O18" i="9"/>
  <c r="N19" i="9" s="1"/>
  <c r="D19" i="3"/>
  <c r="C19" i="3"/>
  <c r="H19" i="11" l="1"/>
  <c r="K19" i="11" s="1"/>
  <c r="J19" i="10"/>
  <c r="M18" i="10"/>
  <c r="P19" i="9"/>
  <c r="C19" i="9"/>
  <c r="D19" i="9"/>
  <c r="H19" i="3"/>
  <c r="K19" i="3" s="1"/>
  <c r="M19" i="3" s="1"/>
  <c r="O19" i="3" s="1"/>
  <c r="M19" i="11" l="1"/>
  <c r="J20" i="11"/>
  <c r="L19" i="10"/>
  <c r="O18" i="10"/>
  <c r="N19" i="10" s="1"/>
  <c r="H19" i="9"/>
  <c r="K19" i="9" s="1"/>
  <c r="J20" i="3"/>
  <c r="N20" i="3"/>
  <c r="L20" i="3"/>
  <c r="L20" i="11" l="1"/>
  <c r="O19" i="11"/>
  <c r="N20" i="11" s="1"/>
  <c r="P19" i="10"/>
  <c r="C19" i="10"/>
  <c r="D19" i="10"/>
  <c r="J20" i="9"/>
  <c r="M19" i="9"/>
  <c r="C20" i="3"/>
  <c r="D20" i="3"/>
  <c r="P20" i="3"/>
  <c r="C20" i="11" l="1"/>
  <c r="P20" i="11"/>
  <c r="D20" i="11"/>
  <c r="H19" i="10"/>
  <c r="K19" i="10" s="1"/>
  <c r="L20" i="9"/>
  <c r="O19" i="9"/>
  <c r="N20" i="9" s="1"/>
  <c r="H20" i="3"/>
  <c r="K20" i="3" s="1"/>
  <c r="J21" i="3" s="1"/>
  <c r="H20" i="11" l="1"/>
  <c r="K20" i="11" s="1"/>
  <c r="M19" i="10"/>
  <c r="J20" i="10"/>
  <c r="P20" i="9"/>
  <c r="C20" i="9"/>
  <c r="D20" i="9"/>
  <c r="M20" i="3"/>
  <c r="O20" i="3" s="1"/>
  <c r="N21" i="3" s="1"/>
  <c r="C21" i="3" s="1"/>
  <c r="J21" i="11" l="1"/>
  <c r="M20" i="11"/>
  <c r="L20" i="10"/>
  <c r="O19" i="10"/>
  <c r="N20" i="10" s="1"/>
  <c r="H20" i="9"/>
  <c r="K20" i="9" s="1"/>
  <c r="L21" i="3"/>
  <c r="D21" i="3" s="1"/>
  <c r="H21" i="3" s="1"/>
  <c r="L21" i="11" l="1"/>
  <c r="O20" i="11"/>
  <c r="N21" i="11" s="1"/>
  <c r="C20" i="10"/>
  <c r="P20" i="10"/>
  <c r="D20" i="10"/>
  <c r="J21" i="9"/>
  <c r="M20" i="9"/>
  <c r="P21" i="3"/>
  <c r="K21" i="3"/>
  <c r="J22" i="3" s="1"/>
  <c r="D21" i="11" l="1"/>
  <c r="P21" i="11"/>
  <c r="C21" i="11"/>
  <c r="H20" i="10"/>
  <c r="K20" i="10" s="1"/>
  <c r="L21" i="9"/>
  <c r="O20" i="9"/>
  <c r="N21" i="9" s="1"/>
  <c r="M21" i="3"/>
  <c r="H21" i="11" l="1"/>
  <c r="K21" i="11" s="1"/>
  <c r="J22" i="11" s="1"/>
  <c r="J21" i="10"/>
  <c r="M20" i="10"/>
  <c r="P21" i="9"/>
  <c r="C21" i="9"/>
  <c r="D21" i="9"/>
  <c r="L22" i="3"/>
  <c r="O21" i="3"/>
  <c r="N22" i="3" s="1"/>
  <c r="M21" i="11" l="1"/>
  <c r="L22" i="11" s="1"/>
  <c r="O21" i="11"/>
  <c r="N22" i="11" s="1"/>
  <c r="L21" i="10"/>
  <c r="O20" i="10"/>
  <c r="N21" i="10" s="1"/>
  <c r="H21" i="9"/>
  <c r="K21" i="9" s="1"/>
  <c r="C22" i="3"/>
  <c r="P22" i="3"/>
  <c r="D22" i="3"/>
  <c r="D22" i="11" l="1"/>
  <c r="C22" i="11"/>
  <c r="P22" i="11"/>
  <c r="D21" i="10"/>
  <c r="P21" i="10"/>
  <c r="C21" i="10"/>
  <c r="J22" i="9"/>
  <c r="M21" i="9"/>
  <c r="H22" i="3"/>
  <c r="H22" i="11" l="1"/>
  <c r="K22" i="11" s="1"/>
  <c r="H21" i="10"/>
  <c r="K21" i="10" s="1"/>
  <c r="J23" i="11"/>
  <c r="M22" i="11"/>
  <c r="J22" i="10"/>
  <c r="M21" i="10"/>
  <c r="L22" i="9"/>
  <c r="O21" i="9"/>
  <c r="N22" i="9" s="1"/>
  <c r="K22" i="3"/>
  <c r="J23" i="3" s="1"/>
  <c r="L23" i="11" l="1"/>
  <c r="O22" i="11"/>
  <c r="N23" i="11" s="1"/>
  <c r="L22" i="10"/>
  <c r="O21" i="10"/>
  <c r="N22" i="10" s="1"/>
  <c r="C22" i="9"/>
  <c r="P22" i="9"/>
  <c r="D22" i="9"/>
  <c r="M22" i="3"/>
  <c r="P23" i="11" l="1"/>
  <c r="C23" i="11"/>
  <c r="D23" i="11"/>
  <c r="P22" i="10"/>
  <c r="C22" i="10"/>
  <c r="D22" i="10"/>
  <c r="H22" i="9"/>
  <c r="K22" i="9" s="1"/>
  <c r="O22" i="3"/>
  <c r="N23" i="3" s="1"/>
  <c r="L23" i="3"/>
  <c r="H23" i="11" l="1"/>
  <c r="K23" i="11" s="1"/>
  <c r="H22" i="10"/>
  <c r="K22" i="10" s="1"/>
  <c r="J23" i="9"/>
  <c r="M22" i="9"/>
  <c r="D23" i="3"/>
  <c r="C23" i="3"/>
  <c r="P23" i="3"/>
  <c r="M23" i="11" l="1"/>
  <c r="J24" i="11"/>
  <c r="J23" i="10"/>
  <c r="M22" i="10"/>
  <c r="L23" i="9"/>
  <c r="O22" i="9"/>
  <c r="N23" i="9" s="1"/>
  <c r="H23" i="3"/>
  <c r="K23" i="3" s="1"/>
  <c r="J24" i="3" s="1"/>
  <c r="L24" i="11" l="1"/>
  <c r="O23" i="11"/>
  <c r="N24" i="11" s="1"/>
  <c r="L23" i="10"/>
  <c r="O22" i="10"/>
  <c r="N23" i="10" s="1"/>
  <c r="P23" i="9"/>
  <c r="C23" i="9"/>
  <c r="D23" i="9"/>
  <c r="M23" i="3"/>
  <c r="P24" i="11" l="1"/>
  <c r="C24" i="11"/>
  <c r="D24" i="11"/>
  <c r="P23" i="10"/>
  <c r="C23" i="10"/>
  <c r="D23" i="10"/>
  <c r="H23" i="9"/>
  <c r="K23" i="9" s="1"/>
  <c r="O23" i="3"/>
  <c r="N24" i="3" s="1"/>
  <c r="L24" i="3"/>
  <c r="H24" i="11" l="1"/>
  <c r="K24" i="11" s="1"/>
  <c r="H23" i="10"/>
  <c r="K23" i="10" s="1"/>
  <c r="M23" i="9"/>
  <c r="J24" i="9"/>
  <c r="D24" i="3"/>
  <c r="C24" i="3"/>
  <c r="P24" i="3"/>
  <c r="M24" i="11" l="1"/>
  <c r="J25" i="11"/>
  <c r="J24" i="10"/>
  <c r="M23" i="10"/>
  <c r="L24" i="9"/>
  <c r="O23" i="9"/>
  <c r="N24" i="9" s="1"/>
  <c r="H24" i="3"/>
  <c r="K24" i="3" s="1"/>
  <c r="J25" i="3" s="1"/>
  <c r="L25" i="11" l="1"/>
  <c r="O24" i="11"/>
  <c r="N25" i="11" s="1"/>
  <c r="L24" i="10"/>
  <c r="O23" i="10"/>
  <c r="N24" i="10" s="1"/>
  <c r="P24" i="9"/>
  <c r="C24" i="9"/>
  <c r="D24" i="9"/>
  <c r="M24" i="3"/>
  <c r="C25" i="11" l="1"/>
  <c r="P25" i="11"/>
  <c r="D25" i="11"/>
  <c r="P24" i="10"/>
  <c r="C24" i="10"/>
  <c r="D24" i="10"/>
  <c r="H24" i="9"/>
  <c r="K24" i="9" s="1"/>
  <c r="O24" i="3"/>
  <c r="N25" i="3" s="1"/>
  <c r="L25" i="3"/>
  <c r="H25" i="11" l="1"/>
  <c r="K25" i="11" s="1"/>
  <c r="H24" i="10"/>
  <c r="K24" i="10" s="1"/>
  <c r="M24" i="9"/>
  <c r="J25" i="9"/>
  <c r="D25" i="3"/>
  <c r="P25" i="3"/>
  <c r="C25" i="3"/>
  <c r="J26" i="11" l="1"/>
  <c r="M25" i="11"/>
  <c r="J25" i="10"/>
  <c r="M24" i="10"/>
  <c r="L25" i="9"/>
  <c r="O24" i="9"/>
  <c r="N25" i="9" s="1"/>
  <c r="H25" i="3"/>
  <c r="K25" i="3" s="1"/>
  <c r="J26" i="3" s="1"/>
  <c r="L26" i="11" l="1"/>
  <c r="O25" i="11"/>
  <c r="N26" i="11" s="1"/>
  <c r="L25" i="10"/>
  <c r="O24" i="10"/>
  <c r="N25" i="10" s="1"/>
  <c r="C25" i="9"/>
  <c r="P25" i="9"/>
  <c r="D25" i="9"/>
  <c r="M25" i="3"/>
  <c r="P26" i="11" l="1"/>
  <c r="C26" i="11"/>
  <c r="D26" i="11"/>
  <c r="P25" i="10"/>
  <c r="C25" i="10"/>
  <c r="D25" i="10"/>
  <c r="H25" i="9"/>
  <c r="K25" i="9" s="1"/>
  <c r="O25" i="3"/>
  <c r="N26" i="3" s="1"/>
  <c r="L26" i="3"/>
  <c r="H26" i="11" l="1"/>
  <c r="K26" i="11" s="1"/>
  <c r="H25" i="10"/>
  <c r="K25" i="10" s="1"/>
  <c r="J26" i="9"/>
  <c r="M25" i="9"/>
  <c r="D26" i="3"/>
  <c r="C26" i="3"/>
  <c r="P26" i="3"/>
  <c r="J27" i="11" l="1"/>
  <c r="M26" i="11"/>
  <c r="J26" i="10"/>
  <c r="M25" i="10"/>
  <c r="L26" i="9"/>
  <c r="O25" i="9"/>
  <c r="N26" i="9" s="1"/>
  <c r="H26" i="3"/>
  <c r="K26" i="3" s="1"/>
  <c r="M26" i="3" s="1"/>
  <c r="O26" i="3" s="1"/>
  <c r="N27" i="3" s="1"/>
  <c r="L27" i="11" l="1"/>
  <c r="O26" i="11"/>
  <c r="N27" i="11" s="1"/>
  <c r="L26" i="10"/>
  <c r="O25" i="10"/>
  <c r="N26" i="10" s="1"/>
  <c r="P26" i="9"/>
  <c r="C26" i="9"/>
  <c r="D26" i="9"/>
  <c r="J27" i="3"/>
  <c r="L27" i="3"/>
  <c r="D27" i="3" s="1"/>
  <c r="C27" i="3"/>
  <c r="D27" i="11" l="1"/>
  <c r="C27" i="11"/>
  <c r="P27" i="11"/>
  <c r="P26" i="10"/>
  <c r="C26" i="10"/>
  <c r="D26" i="10"/>
  <c r="H26" i="9"/>
  <c r="K26" i="9" s="1"/>
  <c r="P27" i="3"/>
  <c r="H27" i="3"/>
  <c r="K27" i="3" s="1"/>
  <c r="H27" i="11" l="1"/>
  <c r="K27" i="11" s="1"/>
  <c r="M27" i="11"/>
  <c r="J28" i="11"/>
  <c r="H26" i="10"/>
  <c r="K26" i="10" s="1"/>
  <c r="M26" i="9"/>
  <c r="J27" i="9"/>
  <c r="J28" i="3"/>
  <c r="M27" i="3"/>
  <c r="O27" i="3" s="1"/>
  <c r="L28" i="11" l="1"/>
  <c r="O27" i="11"/>
  <c r="N28" i="11" s="1"/>
  <c r="J27" i="10"/>
  <c r="M26" i="10"/>
  <c r="L27" i="9"/>
  <c r="O26" i="9"/>
  <c r="N27" i="9" s="1"/>
  <c r="L28" i="3"/>
  <c r="E28" i="11" s="1"/>
  <c r="N28" i="3"/>
  <c r="P28" i="11" l="1"/>
  <c r="F28" i="11"/>
  <c r="C28" i="11"/>
  <c r="D28" i="11"/>
  <c r="E28" i="9"/>
  <c r="E28" i="10"/>
  <c r="L27" i="10"/>
  <c r="O26" i="10"/>
  <c r="N27" i="10" s="1"/>
  <c r="C27" i="9"/>
  <c r="P27" i="9"/>
  <c r="D27" i="9"/>
  <c r="E28" i="3"/>
  <c r="F28" i="3"/>
  <c r="P28" i="3"/>
  <c r="C28" i="3"/>
  <c r="D28" i="3"/>
  <c r="H28" i="11" l="1"/>
  <c r="K28" i="11" s="1"/>
  <c r="C27" i="10"/>
  <c r="P27" i="10"/>
  <c r="D27" i="10"/>
  <c r="H27" i="9"/>
  <c r="K27" i="9" s="1"/>
  <c r="H28" i="3"/>
  <c r="J29" i="11" l="1"/>
  <c r="M28" i="11"/>
  <c r="H27" i="10"/>
  <c r="K27" i="10" s="1"/>
  <c r="M27" i="9"/>
  <c r="J28" i="9"/>
  <c r="K28" i="3"/>
  <c r="M28" i="3" s="1"/>
  <c r="L29" i="11" l="1"/>
  <c r="O28" i="11"/>
  <c r="N29" i="11" s="1"/>
  <c r="M27" i="10"/>
  <c r="J28" i="10"/>
  <c r="L28" i="9"/>
  <c r="O27" i="9"/>
  <c r="N28" i="9" s="1"/>
  <c r="J29" i="3"/>
  <c r="O28" i="3"/>
  <c r="N29" i="3" s="1"/>
  <c r="L29" i="3"/>
  <c r="E29" i="11" s="1"/>
  <c r="C29" i="11" l="1"/>
  <c r="P29" i="11"/>
  <c r="F29" i="11"/>
  <c r="D29" i="11"/>
  <c r="E29" i="9"/>
  <c r="E29" i="10"/>
  <c r="L28" i="10"/>
  <c r="O27" i="10"/>
  <c r="N28" i="10" s="1"/>
  <c r="P28" i="9"/>
  <c r="F28" i="9"/>
  <c r="C28" i="9"/>
  <c r="D28" i="9"/>
  <c r="E29" i="3"/>
  <c r="P29" i="3"/>
  <c r="C29" i="3"/>
  <c r="F29" i="3"/>
  <c r="D29" i="3"/>
  <c r="H29" i="11" l="1"/>
  <c r="K29" i="11" s="1"/>
  <c r="D28" i="10"/>
  <c r="P28" i="10"/>
  <c r="F28" i="10"/>
  <c r="C28" i="10"/>
  <c r="H28" i="9"/>
  <c r="K28" i="9" s="1"/>
  <c r="H29" i="3"/>
  <c r="H28" i="10" l="1"/>
  <c r="K28" i="10" s="1"/>
  <c r="J29" i="10" s="1"/>
  <c r="M29" i="11"/>
  <c r="J30" i="11"/>
  <c r="J29" i="9"/>
  <c r="M28" i="9"/>
  <c r="K29" i="3"/>
  <c r="M29" i="3" s="1"/>
  <c r="M28" i="10" l="1"/>
  <c r="L30" i="11"/>
  <c r="O29" i="11"/>
  <c r="N30" i="11" s="1"/>
  <c r="L29" i="10"/>
  <c r="O28" i="10"/>
  <c r="N29" i="10" s="1"/>
  <c r="L29" i="9"/>
  <c r="O28" i="9"/>
  <c r="N29" i="9" s="1"/>
  <c r="J30" i="3"/>
  <c r="O29" i="3"/>
  <c r="N30" i="3" s="1"/>
  <c r="F30" i="3" s="1"/>
  <c r="L30" i="3"/>
  <c r="E30" i="11" s="1"/>
  <c r="C30" i="11" l="1"/>
  <c r="P30" i="11"/>
  <c r="F30" i="11"/>
  <c r="D30" i="11"/>
  <c r="D29" i="10"/>
  <c r="E30" i="9"/>
  <c r="E30" i="10"/>
  <c r="C29" i="10"/>
  <c r="P29" i="10"/>
  <c r="F29" i="10"/>
  <c r="D29" i="9"/>
  <c r="C29" i="9"/>
  <c r="P29" i="9"/>
  <c r="F29" i="9"/>
  <c r="C30" i="3"/>
  <c r="D30" i="3"/>
  <c r="E30" i="3"/>
  <c r="P30" i="3"/>
  <c r="H30" i="11" l="1"/>
  <c r="K30" i="11" s="1"/>
  <c r="H29" i="10"/>
  <c r="K29" i="10" s="1"/>
  <c r="H29" i="9"/>
  <c r="K29" i="9" s="1"/>
  <c r="H30" i="3"/>
  <c r="K30" i="3" s="1"/>
  <c r="J31" i="3" s="1"/>
  <c r="J31" i="11" l="1"/>
  <c r="M30" i="11"/>
  <c r="J30" i="10"/>
  <c r="M29" i="10"/>
  <c r="M29" i="9"/>
  <c r="J30" i="9"/>
  <c r="M30" i="3"/>
  <c r="O30" i="3" s="1"/>
  <c r="N31" i="3" s="1"/>
  <c r="L31" i="11" l="1"/>
  <c r="O30" i="11"/>
  <c r="N31" i="11" s="1"/>
  <c r="L30" i="10"/>
  <c r="O29" i="10"/>
  <c r="N30" i="10" s="1"/>
  <c r="L30" i="9"/>
  <c r="O29" i="9"/>
  <c r="N30" i="9" s="1"/>
  <c r="L31" i="3"/>
  <c r="E31" i="11" s="1"/>
  <c r="F31" i="3"/>
  <c r="C31" i="3"/>
  <c r="P31" i="11" l="1"/>
  <c r="F31" i="11"/>
  <c r="C31" i="11"/>
  <c r="D31" i="11"/>
  <c r="E31" i="9"/>
  <c r="E31" i="10"/>
  <c r="C30" i="10"/>
  <c r="F30" i="10"/>
  <c r="P30" i="10"/>
  <c r="D30" i="10"/>
  <c r="C30" i="9"/>
  <c r="P30" i="9"/>
  <c r="F30" i="9"/>
  <c r="D30" i="9"/>
  <c r="E31" i="3"/>
  <c r="D31" i="3"/>
  <c r="P31" i="3"/>
  <c r="H31" i="11" l="1"/>
  <c r="K31" i="11" s="1"/>
  <c r="H30" i="10"/>
  <c r="K30" i="10" s="1"/>
  <c r="H30" i="9"/>
  <c r="K30" i="9" s="1"/>
  <c r="H31" i="3"/>
  <c r="K31" i="3" s="1"/>
  <c r="M31" i="3" s="1"/>
  <c r="O31" i="3" s="1"/>
  <c r="N32" i="3" s="1"/>
  <c r="J32" i="11" l="1"/>
  <c r="M31" i="11"/>
  <c r="J31" i="10"/>
  <c r="M30" i="10"/>
  <c r="J31" i="9"/>
  <c r="M30" i="9"/>
  <c r="L32" i="3"/>
  <c r="E32" i="11" s="1"/>
  <c r="J32" i="3"/>
  <c r="C32" i="3"/>
  <c r="F32" i="3"/>
  <c r="E32" i="3" l="1"/>
  <c r="L32" i="11"/>
  <c r="O31" i="11"/>
  <c r="N32" i="11" s="1"/>
  <c r="E32" i="9"/>
  <c r="E32" i="10"/>
  <c r="D32" i="3"/>
  <c r="H32" i="3" s="1"/>
  <c r="L31" i="10"/>
  <c r="O30" i="10"/>
  <c r="N31" i="10" s="1"/>
  <c r="P32" i="3"/>
  <c r="L31" i="9"/>
  <c r="O30" i="9"/>
  <c r="N31" i="9" s="1"/>
  <c r="C32" i="11" l="1"/>
  <c r="F32" i="11"/>
  <c r="P32" i="11"/>
  <c r="D32" i="11"/>
  <c r="F31" i="10"/>
  <c r="P31" i="10"/>
  <c r="C31" i="10"/>
  <c r="D31" i="10"/>
  <c r="P31" i="9"/>
  <c r="F31" i="9"/>
  <c r="C31" i="9"/>
  <c r="D31" i="9"/>
  <c r="K32" i="3"/>
  <c r="M32" i="3" s="1"/>
  <c r="H32" i="11" l="1"/>
  <c r="K32" i="11" s="1"/>
  <c r="H31" i="10"/>
  <c r="K31" i="10" s="1"/>
  <c r="H31" i="9"/>
  <c r="K31" i="9" s="1"/>
  <c r="J33" i="3"/>
  <c r="O32" i="3"/>
  <c r="N33" i="3" s="1"/>
  <c r="C33" i="3" s="1"/>
  <c r="L33" i="3"/>
  <c r="J33" i="11" l="1"/>
  <c r="M32" i="11"/>
  <c r="M31" i="10"/>
  <c r="J32" i="10"/>
  <c r="M31" i="9"/>
  <c r="J32" i="9"/>
  <c r="D33" i="3"/>
  <c r="H33" i="3" s="1"/>
  <c r="K33" i="3" s="1"/>
  <c r="P33" i="3"/>
  <c r="L33" i="11" l="1"/>
  <c r="O32" i="11"/>
  <c r="N33" i="11" s="1"/>
  <c r="L32" i="10"/>
  <c r="O31" i="10"/>
  <c r="N32" i="10" s="1"/>
  <c r="L32" i="9"/>
  <c r="O31" i="9"/>
  <c r="N32" i="9" s="1"/>
  <c r="M33" i="3"/>
  <c r="O33" i="3" s="1"/>
  <c r="N34" i="3" s="1"/>
  <c r="J34" i="3"/>
  <c r="P33" i="11" l="1"/>
  <c r="C33" i="11"/>
  <c r="D33" i="11"/>
  <c r="D32" i="10"/>
  <c r="C32" i="10"/>
  <c r="P32" i="10"/>
  <c r="F32" i="10"/>
  <c r="C32" i="9"/>
  <c r="P32" i="9"/>
  <c r="F32" i="9"/>
  <c r="D32" i="9"/>
  <c r="L34" i="3"/>
  <c r="H33" i="11" l="1"/>
  <c r="K33" i="11" s="1"/>
  <c r="J34" i="11" s="1"/>
  <c r="H32" i="10"/>
  <c r="K32" i="10" s="1"/>
  <c r="H32" i="9"/>
  <c r="K32" i="9" s="1"/>
  <c r="C34" i="3"/>
  <c r="P34" i="3"/>
  <c r="D34" i="3"/>
  <c r="M33" i="11" l="1"/>
  <c r="O33" i="11" s="1"/>
  <c r="N34" i="11" s="1"/>
  <c r="J33" i="10"/>
  <c r="M32" i="10"/>
  <c r="J33" i="9"/>
  <c r="M32" i="9"/>
  <c r="H34" i="3"/>
  <c r="L34" i="11" l="1"/>
  <c r="P34" i="11" s="1"/>
  <c r="C34" i="11"/>
  <c r="D34" i="11"/>
  <c r="L33" i="10"/>
  <c r="O32" i="10"/>
  <c r="N33" i="10" s="1"/>
  <c r="L33" i="9"/>
  <c r="O32" i="9"/>
  <c r="N33" i="9" s="1"/>
  <c r="K34" i="3"/>
  <c r="M34" i="3" s="1"/>
  <c r="O34" i="3" s="1"/>
  <c r="N35" i="3" s="1"/>
  <c r="H34" i="11" l="1"/>
  <c r="K34" i="11" s="1"/>
  <c r="D33" i="10"/>
  <c r="P33" i="10"/>
  <c r="C33" i="10"/>
  <c r="P33" i="9"/>
  <c r="C33" i="9"/>
  <c r="D33" i="9"/>
  <c r="J35" i="3"/>
  <c r="L35" i="3"/>
  <c r="J35" i="11" l="1"/>
  <c r="M34" i="11"/>
  <c r="H33" i="10"/>
  <c r="K33" i="10" s="1"/>
  <c r="J34" i="10" s="1"/>
  <c r="H33" i="9"/>
  <c r="K33" i="9" s="1"/>
  <c r="P35" i="3"/>
  <c r="D35" i="3"/>
  <c r="C35" i="3"/>
  <c r="M33" i="10" l="1"/>
  <c r="L34" i="10" s="1"/>
  <c r="L35" i="11"/>
  <c r="O34" i="11"/>
  <c r="N35" i="11" s="1"/>
  <c r="J34" i="9"/>
  <c r="M33" i="9"/>
  <c r="H35" i="3"/>
  <c r="K35" i="3" s="1"/>
  <c r="O33" i="10" l="1"/>
  <c r="N34" i="10" s="1"/>
  <c r="C35" i="11"/>
  <c r="P35" i="11"/>
  <c r="D35" i="11"/>
  <c r="C34" i="10"/>
  <c r="P34" i="10"/>
  <c r="D34" i="10"/>
  <c r="L34" i="9"/>
  <c r="O33" i="9"/>
  <c r="N34" i="9" s="1"/>
  <c r="M35" i="3"/>
  <c r="H35" i="11" l="1"/>
  <c r="K35" i="11" s="1"/>
  <c r="H34" i="10"/>
  <c r="K34" i="10" s="1"/>
  <c r="D34" i="9"/>
  <c r="C34" i="9"/>
  <c r="P34" i="9"/>
  <c r="O35" i="3"/>
  <c r="N36" i="3" s="1"/>
  <c r="J36" i="3"/>
  <c r="J36" i="11" l="1"/>
  <c r="M35" i="11"/>
  <c r="J35" i="10"/>
  <c r="M34" i="10"/>
  <c r="H34" i="9"/>
  <c r="K34" i="9" s="1"/>
  <c r="J35" i="9" s="1"/>
  <c r="L36" i="3"/>
  <c r="L36" i="11" l="1"/>
  <c r="O35" i="11"/>
  <c r="N36" i="11" s="1"/>
  <c r="L35" i="10"/>
  <c r="O34" i="10"/>
  <c r="N35" i="10" s="1"/>
  <c r="M34" i="9"/>
  <c r="L35" i="9" s="1"/>
  <c r="P36" i="3"/>
  <c r="C36" i="3"/>
  <c r="D36" i="3"/>
  <c r="P36" i="11" l="1"/>
  <c r="C36" i="11"/>
  <c r="D36" i="11"/>
  <c r="C35" i="10"/>
  <c r="P35" i="10"/>
  <c r="D35" i="10"/>
  <c r="O34" i="9"/>
  <c r="N35" i="9" s="1"/>
  <c r="C35" i="9" s="1"/>
  <c r="H36" i="3"/>
  <c r="P35" i="9" l="1"/>
  <c r="D35" i="9"/>
  <c r="H35" i="9" s="1"/>
  <c r="K35" i="9" s="1"/>
  <c r="H36" i="11"/>
  <c r="K36" i="11" s="1"/>
  <c r="H35" i="10"/>
  <c r="K35" i="10" s="1"/>
  <c r="K36" i="3"/>
  <c r="M36" i="3" s="1"/>
  <c r="O36" i="3" s="1"/>
  <c r="N37" i="3" s="1"/>
  <c r="J37" i="11" l="1"/>
  <c r="M36" i="11"/>
  <c r="J36" i="10"/>
  <c r="M35" i="10"/>
  <c r="J36" i="9"/>
  <c r="M35" i="9"/>
  <c r="J37" i="3"/>
  <c r="L37" i="3"/>
  <c r="L37" i="11" l="1"/>
  <c r="O36" i="11"/>
  <c r="N37" i="11" s="1"/>
  <c r="L36" i="10"/>
  <c r="O35" i="10"/>
  <c r="N36" i="10" s="1"/>
  <c r="L36" i="9"/>
  <c r="O35" i="9"/>
  <c r="N36" i="9" s="1"/>
  <c r="P37" i="3"/>
  <c r="C37" i="3"/>
  <c r="D37" i="3"/>
  <c r="C37" i="11" l="1"/>
  <c r="P37" i="11"/>
  <c r="D37" i="11"/>
  <c r="P36" i="10"/>
  <c r="C36" i="10"/>
  <c r="D36" i="10"/>
  <c r="P36" i="9"/>
  <c r="C36" i="9"/>
  <c r="D36" i="9"/>
  <c r="H37" i="3"/>
  <c r="K37" i="3" s="1"/>
  <c r="H37" i="11" l="1"/>
  <c r="K37" i="11" s="1"/>
  <c r="H36" i="10"/>
  <c r="K36" i="10" s="1"/>
  <c r="H36" i="9"/>
  <c r="K36" i="9" s="1"/>
  <c r="M37" i="3"/>
  <c r="J38" i="11" l="1"/>
  <c r="M37" i="11"/>
  <c r="J37" i="10"/>
  <c r="M36" i="10"/>
  <c r="M36" i="9"/>
  <c r="J37" i="9"/>
  <c r="J38" i="3"/>
  <c r="L38" i="11" l="1"/>
  <c r="O37" i="11"/>
  <c r="N38" i="11" s="1"/>
  <c r="L37" i="10"/>
  <c r="O36" i="10"/>
  <c r="N37" i="10" s="1"/>
  <c r="L37" i="9"/>
  <c r="O36" i="9"/>
  <c r="N37" i="9" s="1"/>
  <c r="O37" i="3"/>
  <c r="N38" i="3" s="1"/>
  <c r="L38" i="3"/>
  <c r="D38" i="11" l="1"/>
  <c r="P38" i="11"/>
  <c r="C38" i="11"/>
  <c r="P37" i="10"/>
  <c r="C37" i="10"/>
  <c r="D37" i="10"/>
  <c r="C37" i="9"/>
  <c r="P37" i="9"/>
  <c r="D37" i="9"/>
  <c r="D38" i="3"/>
  <c r="P38" i="3"/>
  <c r="C38" i="3"/>
  <c r="H38" i="11" l="1"/>
  <c r="K38" i="11" s="1"/>
  <c r="J39" i="11" s="1"/>
  <c r="H37" i="10"/>
  <c r="K37" i="10" s="1"/>
  <c r="H37" i="9"/>
  <c r="K37" i="9" s="1"/>
  <c r="H38" i="3"/>
  <c r="K38" i="3" s="1"/>
  <c r="M38" i="11" l="1"/>
  <c r="O38" i="11" s="1"/>
  <c r="N39" i="11" s="1"/>
  <c r="L39" i="11"/>
  <c r="J38" i="10"/>
  <c r="M37" i="10"/>
  <c r="J38" i="9"/>
  <c r="M37" i="9"/>
  <c r="J39" i="3"/>
  <c r="M38" i="3"/>
  <c r="O38" i="3" s="1"/>
  <c r="N39" i="3" s="1"/>
  <c r="P39" i="11" l="1"/>
  <c r="C39" i="11"/>
  <c r="D39" i="11"/>
  <c r="L38" i="10"/>
  <c r="O37" i="10"/>
  <c r="N38" i="10" s="1"/>
  <c r="L38" i="9"/>
  <c r="O37" i="9"/>
  <c r="N38" i="9" s="1"/>
  <c r="L39" i="3"/>
  <c r="D39" i="3" s="1"/>
  <c r="C39" i="3"/>
  <c r="H39" i="11" l="1"/>
  <c r="K39" i="11" s="1"/>
  <c r="C38" i="10"/>
  <c r="P38" i="10"/>
  <c r="D38" i="10"/>
  <c r="D38" i="9"/>
  <c r="P38" i="9"/>
  <c r="C38" i="9"/>
  <c r="P39" i="3"/>
  <c r="H39" i="3"/>
  <c r="K39" i="3" s="1"/>
  <c r="M39" i="3" s="1"/>
  <c r="L40" i="3" s="1"/>
  <c r="M39" i="11" l="1"/>
  <c r="J40" i="11"/>
  <c r="H38" i="10"/>
  <c r="K38" i="10" s="1"/>
  <c r="H38" i="9"/>
  <c r="K38" i="9" s="1"/>
  <c r="J39" i="9" s="1"/>
  <c r="J40" i="3"/>
  <c r="O39" i="3"/>
  <c r="N40" i="3" s="1"/>
  <c r="C40" i="3" s="1"/>
  <c r="L40" i="11" l="1"/>
  <c r="O39" i="11"/>
  <c r="N40" i="11" s="1"/>
  <c r="J39" i="10"/>
  <c r="M38" i="10"/>
  <c r="M38" i="9"/>
  <c r="L39" i="9" s="1"/>
  <c r="P40" i="3"/>
  <c r="D40" i="3"/>
  <c r="H40" i="3" s="1"/>
  <c r="K40" i="3" s="1"/>
  <c r="M40" i="3" s="1"/>
  <c r="P40" i="11" l="1"/>
  <c r="C40" i="11"/>
  <c r="D40" i="11"/>
  <c r="L39" i="10"/>
  <c r="O38" i="10"/>
  <c r="N39" i="10" s="1"/>
  <c r="O38" i="9"/>
  <c r="N39" i="9" s="1"/>
  <c r="P39" i="9" s="1"/>
  <c r="L41" i="3"/>
  <c r="E41" i="3" s="1"/>
  <c r="O40" i="3"/>
  <c r="J41" i="3"/>
  <c r="H40" i="11" l="1"/>
  <c r="K40" i="11" s="1"/>
  <c r="P39" i="10"/>
  <c r="C39" i="10"/>
  <c r="D39" i="10"/>
  <c r="C39" i="9"/>
  <c r="D39" i="9"/>
  <c r="N41" i="3"/>
  <c r="F41" i="11" s="1"/>
  <c r="H39" i="9" l="1"/>
  <c r="K39" i="9" s="1"/>
  <c r="J40" i="9" s="1"/>
  <c r="M40" i="11"/>
  <c r="J41" i="11"/>
  <c r="F41" i="9"/>
  <c r="F41" i="10"/>
  <c r="H39" i="10"/>
  <c r="K39" i="10" s="1"/>
  <c r="F41" i="3"/>
  <c r="P41" i="3"/>
  <c r="C41" i="3"/>
  <c r="D41" i="3"/>
  <c r="M39" i="9" l="1"/>
  <c r="O39" i="9" s="1"/>
  <c r="N40" i="9" s="1"/>
  <c r="L41" i="11"/>
  <c r="O40" i="11"/>
  <c r="N41" i="11" s="1"/>
  <c r="J40" i="10"/>
  <c r="M39" i="10"/>
  <c r="H41" i="3"/>
  <c r="K41" i="3" s="1"/>
  <c r="L40" i="9" l="1"/>
  <c r="P41" i="11"/>
  <c r="C41" i="11"/>
  <c r="E41" i="11"/>
  <c r="D41" i="11"/>
  <c r="L40" i="10"/>
  <c r="O39" i="10"/>
  <c r="N40" i="10" s="1"/>
  <c r="C40" i="9"/>
  <c r="P40" i="9"/>
  <c r="D40" i="9"/>
  <c r="M41" i="3"/>
  <c r="O41" i="3" s="1"/>
  <c r="N42" i="3" s="1"/>
  <c r="F42" i="11" s="1"/>
  <c r="J42" i="3"/>
  <c r="H41" i="11" l="1"/>
  <c r="K41" i="11" s="1"/>
  <c r="F42" i="9"/>
  <c r="F42" i="10"/>
  <c r="P40" i="10"/>
  <c r="C40" i="10"/>
  <c r="D40" i="10"/>
  <c r="H40" i="9"/>
  <c r="K40" i="9" s="1"/>
  <c r="L42" i="3"/>
  <c r="E42" i="3" s="1"/>
  <c r="C42" i="3"/>
  <c r="F42" i="3"/>
  <c r="M41" i="11" l="1"/>
  <c r="J42" i="11"/>
  <c r="H40" i="10"/>
  <c r="K40" i="10" s="1"/>
  <c r="M40" i="9"/>
  <c r="J41" i="9"/>
  <c r="D42" i="3"/>
  <c r="H42" i="3" s="1"/>
  <c r="K42" i="3" s="1"/>
  <c r="M42" i="3" s="1"/>
  <c r="P42" i="3"/>
  <c r="L42" i="11" l="1"/>
  <c r="O41" i="11"/>
  <c r="N42" i="11" s="1"/>
  <c r="M40" i="10"/>
  <c r="J41" i="10"/>
  <c r="L41" i="9"/>
  <c r="O40" i="9"/>
  <c r="N41" i="9" s="1"/>
  <c r="L43" i="3"/>
  <c r="O42" i="3"/>
  <c r="N43" i="3" s="1"/>
  <c r="J43" i="3"/>
  <c r="P42" i="11" l="1"/>
  <c r="C42" i="11"/>
  <c r="E42" i="11"/>
  <c r="D42" i="11"/>
  <c r="L41" i="10"/>
  <c r="O40" i="10"/>
  <c r="N41" i="10" s="1"/>
  <c r="P41" i="9"/>
  <c r="C41" i="9"/>
  <c r="E41" i="9"/>
  <c r="D41" i="9"/>
  <c r="P43" i="3"/>
  <c r="D43" i="3"/>
  <c r="C43" i="3"/>
  <c r="H42" i="11" l="1"/>
  <c r="K42" i="11" s="1"/>
  <c r="P41" i="10"/>
  <c r="C41" i="10"/>
  <c r="D41" i="10"/>
  <c r="E41" i="10"/>
  <c r="H41" i="9"/>
  <c r="K41" i="9" s="1"/>
  <c r="H43" i="3"/>
  <c r="K43" i="3" s="1"/>
  <c r="M43" i="3" s="1"/>
  <c r="J43" i="11" l="1"/>
  <c r="M42" i="11"/>
  <c r="H41" i="10"/>
  <c r="K41" i="10" s="1"/>
  <c r="J42" i="9"/>
  <c r="M41" i="9"/>
  <c r="L44" i="3"/>
  <c r="O43" i="3"/>
  <c r="J44" i="3"/>
  <c r="L43" i="11" l="1"/>
  <c r="O42" i="11"/>
  <c r="N43" i="11" s="1"/>
  <c r="J42" i="10"/>
  <c r="M41" i="10"/>
  <c r="L42" i="9"/>
  <c r="O41" i="9"/>
  <c r="N42" i="9" s="1"/>
  <c r="N44" i="3"/>
  <c r="P43" i="11" l="1"/>
  <c r="C43" i="11"/>
  <c r="D43" i="11"/>
  <c r="L42" i="10"/>
  <c r="O41" i="10"/>
  <c r="N42" i="10" s="1"/>
  <c r="E42" i="9"/>
  <c r="D42" i="9"/>
  <c r="P42" i="9"/>
  <c r="C42" i="9"/>
  <c r="C44" i="3"/>
  <c r="P44" i="3"/>
  <c r="D44" i="3"/>
  <c r="H43" i="11" l="1"/>
  <c r="K43" i="11" s="1"/>
  <c r="C42" i="10"/>
  <c r="P42" i="10"/>
  <c r="D42" i="10"/>
  <c r="E42" i="10"/>
  <c r="H42" i="9"/>
  <c r="K42" i="9" s="1"/>
  <c r="J43" i="9" s="1"/>
  <c r="H44" i="3"/>
  <c r="M43" i="11" l="1"/>
  <c r="J44" i="11"/>
  <c r="M42" i="9"/>
  <c r="H42" i="10"/>
  <c r="K42" i="10" s="1"/>
  <c r="L43" i="9"/>
  <c r="O42" i="9"/>
  <c r="N43" i="9" s="1"/>
  <c r="K44" i="3"/>
  <c r="M44" i="3" s="1"/>
  <c r="L44" i="11" l="1"/>
  <c r="O43" i="11"/>
  <c r="N44" i="11" s="1"/>
  <c r="J43" i="10"/>
  <c r="M42" i="10"/>
  <c r="P43" i="9"/>
  <c r="C43" i="9"/>
  <c r="D43" i="9"/>
  <c r="J45" i="3"/>
  <c r="O44" i="3"/>
  <c r="N45" i="3" s="1"/>
  <c r="L45" i="3"/>
  <c r="C44" i="11" l="1"/>
  <c r="P44" i="11"/>
  <c r="D44" i="11"/>
  <c r="L43" i="10"/>
  <c r="O42" i="10"/>
  <c r="N43" i="10" s="1"/>
  <c r="H43" i="9"/>
  <c r="K43" i="9" s="1"/>
  <c r="C45" i="3"/>
  <c r="P45" i="3"/>
  <c r="D45" i="3"/>
  <c r="H44" i="11" l="1"/>
  <c r="K44" i="11" s="1"/>
  <c r="P43" i="10"/>
  <c r="C43" i="10"/>
  <c r="D43" i="10"/>
  <c r="J44" i="9"/>
  <c r="M43" i="9"/>
  <c r="H45" i="3"/>
  <c r="J45" i="11" l="1"/>
  <c r="M44" i="11"/>
  <c r="H43" i="10"/>
  <c r="K43" i="10" s="1"/>
  <c r="L44" i="9"/>
  <c r="O43" i="9"/>
  <c r="N44" i="9" s="1"/>
  <c r="K45" i="3"/>
  <c r="M45" i="3" s="1"/>
  <c r="L45" i="11" l="1"/>
  <c r="O44" i="11"/>
  <c r="N45" i="11" s="1"/>
  <c r="J44" i="10"/>
  <c r="M43" i="10"/>
  <c r="D44" i="9"/>
  <c r="C44" i="9"/>
  <c r="P44" i="9"/>
  <c r="J46" i="3"/>
  <c r="L46" i="3"/>
  <c r="O45" i="3"/>
  <c r="N46" i="3" s="1"/>
  <c r="P45" i="11" l="1"/>
  <c r="C45" i="11"/>
  <c r="D45" i="11"/>
  <c r="L44" i="10"/>
  <c r="O43" i="10"/>
  <c r="N44" i="10" s="1"/>
  <c r="H44" i="9"/>
  <c r="K44" i="9" s="1"/>
  <c r="P46" i="3"/>
  <c r="C46" i="3"/>
  <c r="D46" i="3"/>
  <c r="H45" i="11" l="1"/>
  <c r="K45" i="11" s="1"/>
  <c r="P44" i="10"/>
  <c r="C44" i="10"/>
  <c r="D44" i="10"/>
  <c r="J45" i="9"/>
  <c r="M44" i="9"/>
  <c r="H46" i="3"/>
  <c r="J46" i="11" l="1"/>
  <c r="M45" i="11"/>
  <c r="H44" i="10"/>
  <c r="K44" i="10" s="1"/>
  <c r="L45" i="9"/>
  <c r="O44" i="9"/>
  <c r="N45" i="9" s="1"/>
  <c r="K46" i="3"/>
  <c r="M46" i="3" s="1"/>
  <c r="L46" i="11" l="1"/>
  <c r="O45" i="11"/>
  <c r="N46" i="11" s="1"/>
  <c r="J45" i="10"/>
  <c r="M44" i="10"/>
  <c r="C45" i="9"/>
  <c r="P45" i="9"/>
  <c r="D45" i="9"/>
  <c r="J47" i="3"/>
  <c r="L47" i="3"/>
  <c r="O46" i="3"/>
  <c r="N47" i="3" s="1"/>
  <c r="C46" i="11" l="1"/>
  <c r="P46" i="11"/>
  <c r="D46" i="11"/>
  <c r="L45" i="10"/>
  <c r="O44" i="10"/>
  <c r="N45" i="10" s="1"/>
  <c r="H45" i="9"/>
  <c r="K45" i="9" s="1"/>
  <c r="P47" i="3"/>
  <c r="C47" i="3"/>
  <c r="D47" i="3"/>
  <c r="H46" i="11" l="1"/>
  <c r="K46" i="11" s="1"/>
  <c r="J47" i="11" s="1"/>
  <c r="P45" i="10"/>
  <c r="C45" i="10"/>
  <c r="D45" i="10"/>
  <c r="M45" i="9"/>
  <c r="J46" i="9"/>
  <c r="H47" i="3"/>
  <c r="K47" i="3" s="1"/>
  <c r="M46" i="11" l="1"/>
  <c r="L47" i="11" s="1"/>
  <c r="H45" i="10"/>
  <c r="K45" i="10" s="1"/>
  <c r="L46" i="9"/>
  <c r="O45" i="9"/>
  <c r="N46" i="9" s="1"/>
  <c r="M47" i="3"/>
  <c r="O47" i="3" s="1"/>
  <c r="N48" i="3" s="1"/>
  <c r="J48" i="3"/>
  <c r="O46" i="11" l="1"/>
  <c r="N47" i="11" s="1"/>
  <c r="C47" i="11" s="1"/>
  <c r="J46" i="10"/>
  <c r="M45" i="10"/>
  <c r="C46" i="9"/>
  <c r="P46" i="9"/>
  <c r="D46" i="9"/>
  <c r="L48" i="3"/>
  <c r="P48" i="3" s="1"/>
  <c r="C48" i="3"/>
  <c r="D47" i="11" l="1"/>
  <c r="P47" i="11"/>
  <c r="H47" i="11"/>
  <c r="K47" i="11" s="1"/>
  <c r="L46" i="10"/>
  <c r="O45" i="10"/>
  <c r="N46" i="10" s="1"/>
  <c r="H46" i="9"/>
  <c r="K46" i="9" s="1"/>
  <c r="D48" i="3"/>
  <c r="H48" i="3" s="1"/>
  <c r="K48" i="3" s="1"/>
  <c r="M48" i="3" s="1"/>
  <c r="J48" i="11" l="1"/>
  <c r="M47" i="11"/>
  <c r="C46" i="10"/>
  <c r="P46" i="10"/>
  <c r="D46" i="10"/>
  <c r="J47" i="9"/>
  <c r="M46" i="9"/>
  <c r="J49" i="3"/>
  <c r="L49" i="3"/>
  <c r="O48" i="3"/>
  <c r="N49" i="3" s="1"/>
  <c r="L48" i="11" l="1"/>
  <c r="O47" i="11"/>
  <c r="N48" i="11" s="1"/>
  <c r="H46" i="10"/>
  <c r="K46" i="10" s="1"/>
  <c r="L47" i="9"/>
  <c r="O46" i="9"/>
  <c r="N47" i="9" s="1"/>
  <c r="P49" i="3"/>
  <c r="D49" i="3"/>
  <c r="C49" i="3"/>
  <c r="P48" i="11" l="1"/>
  <c r="C48" i="11"/>
  <c r="D48" i="11"/>
  <c r="M46" i="10"/>
  <c r="J47" i="10"/>
  <c r="C47" i="9"/>
  <c r="P47" i="9"/>
  <c r="D47" i="9"/>
  <c r="H49" i="3"/>
  <c r="K49" i="3" s="1"/>
  <c r="M49" i="3" s="1"/>
  <c r="H48" i="11" l="1"/>
  <c r="K48" i="11" s="1"/>
  <c r="L47" i="10"/>
  <c r="O46" i="10"/>
  <c r="N47" i="10" s="1"/>
  <c r="H47" i="9"/>
  <c r="K47" i="9" s="1"/>
  <c r="L50" i="3"/>
  <c r="O49" i="3"/>
  <c r="N50" i="3" s="1"/>
  <c r="J50" i="3"/>
  <c r="M48" i="11" l="1"/>
  <c r="J49" i="11"/>
  <c r="C47" i="10"/>
  <c r="P47" i="10"/>
  <c r="D47" i="10"/>
  <c r="J48" i="9"/>
  <c r="M47" i="9"/>
  <c r="P50" i="3"/>
  <c r="C50" i="3"/>
  <c r="D50" i="3"/>
  <c r="L49" i="11" l="1"/>
  <c r="O48" i="11"/>
  <c r="N49" i="11" s="1"/>
  <c r="H47" i="10"/>
  <c r="K47" i="10" s="1"/>
  <c r="L48" i="9"/>
  <c r="O47" i="9"/>
  <c r="N48" i="9" s="1"/>
  <c r="H50" i="3"/>
  <c r="K50" i="3" s="1"/>
  <c r="C49" i="11" l="1"/>
  <c r="P49" i="11"/>
  <c r="D49" i="11"/>
  <c r="M47" i="10"/>
  <c r="J48" i="10"/>
  <c r="P48" i="9"/>
  <c r="C48" i="9"/>
  <c r="D48" i="9"/>
  <c r="M50" i="3"/>
  <c r="H49" i="11" l="1"/>
  <c r="K49" i="11" s="1"/>
  <c r="L48" i="10"/>
  <c r="O47" i="10"/>
  <c r="N48" i="10" s="1"/>
  <c r="H48" i="9"/>
  <c r="K48" i="9" s="1"/>
  <c r="L51" i="3"/>
  <c r="O50" i="3"/>
  <c r="J51" i="3"/>
  <c r="J50" i="11" l="1"/>
  <c r="M49" i="11"/>
  <c r="C48" i="10"/>
  <c r="P48" i="10"/>
  <c r="D48" i="10"/>
  <c r="J49" i="9"/>
  <c r="M48" i="9"/>
  <c r="N51" i="3"/>
  <c r="L50" i="11" l="1"/>
  <c r="O49" i="11"/>
  <c r="N50" i="11" s="1"/>
  <c r="H48" i="10"/>
  <c r="K48" i="10" s="1"/>
  <c r="L49" i="9"/>
  <c r="O48" i="9"/>
  <c r="N49" i="9" s="1"/>
  <c r="P51" i="3"/>
  <c r="C51" i="3"/>
  <c r="D51" i="3"/>
  <c r="P50" i="11" l="1"/>
  <c r="C50" i="11"/>
  <c r="D50" i="11"/>
  <c r="J49" i="10"/>
  <c r="M48" i="10"/>
  <c r="C49" i="9"/>
  <c r="P49" i="9"/>
  <c r="D49" i="9"/>
  <c r="H51" i="3"/>
  <c r="K51" i="3" s="1"/>
  <c r="H50" i="11" l="1"/>
  <c r="K50" i="11" s="1"/>
  <c r="L49" i="10"/>
  <c r="O48" i="10"/>
  <c r="N49" i="10" s="1"/>
  <c r="H49" i="9"/>
  <c r="K49" i="9" s="1"/>
  <c r="J52" i="3"/>
  <c r="M51" i="3"/>
  <c r="L52" i="3" s="1"/>
  <c r="M50" i="11" l="1"/>
  <c r="J51" i="11"/>
  <c r="C49" i="10"/>
  <c r="P49" i="10"/>
  <c r="D49" i="10"/>
  <c r="J50" i="9"/>
  <c r="M49" i="9"/>
  <c r="O51" i="3"/>
  <c r="N52" i="3" s="1"/>
  <c r="C52" i="3" s="1"/>
  <c r="L51" i="11" l="1"/>
  <c r="O50" i="11"/>
  <c r="N51" i="11" s="1"/>
  <c r="H49" i="10"/>
  <c r="K49" i="10" s="1"/>
  <c r="L50" i="9"/>
  <c r="O49" i="9"/>
  <c r="N50" i="9" s="1"/>
  <c r="D52" i="3"/>
  <c r="H52" i="3" s="1"/>
  <c r="P52" i="3"/>
  <c r="P51" i="11" l="1"/>
  <c r="C51" i="11"/>
  <c r="D51" i="11"/>
  <c r="J50" i="10"/>
  <c r="M49" i="10"/>
  <c r="C50" i="9"/>
  <c r="P50" i="9"/>
  <c r="D50" i="9"/>
  <c r="K52" i="3"/>
  <c r="M52" i="3" s="1"/>
  <c r="H51" i="11" l="1"/>
  <c r="K51" i="11" s="1"/>
  <c r="L50" i="10"/>
  <c r="O49" i="10"/>
  <c r="N50" i="10" s="1"/>
  <c r="H50" i="9"/>
  <c r="K50" i="9" s="1"/>
  <c r="J53" i="3"/>
  <c r="O52" i="3"/>
  <c r="N53" i="3" s="1"/>
  <c r="L53" i="3"/>
  <c r="J52" i="11" l="1"/>
  <c r="M51" i="11"/>
  <c r="C50" i="10"/>
  <c r="P50" i="10"/>
  <c r="D50" i="10"/>
  <c r="J51" i="9"/>
  <c r="M50" i="9"/>
  <c r="D53" i="3"/>
  <c r="C53" i="3"/>
  <c r="P53" i="3"/>
  <c r="L52" i="11" l="1"/>
  <c r="O51" i="11"/>
  <c r="N52" i="11" s="1"/>
  <c r="H50" i="10"/>
  <c r="K50" i="10" s="1"/>
  <c r="L51" i="9"/>
  <c r="O50" i="9"/>
  <c r="N51" i="9" s="1"/>
  <c r="H53" i="3"/>
  <c r="K53" i="3" l="1"/>
  <c r="H54" i="3"/>
  <c r="C52" i="11"/>
  <c r="P52" i="11"/>
  <c r="D52" i="11"/>
  <c r="J51" i="10"/>
  <c r="M50" i="10"/>
  <c r="P51" i="9"/>
  <c r="C51" i="9"/>
  <c r="D51" i="9"/>
  <c r="M53" i="3" l="1"/>
  <c r="O53" i="3" s="1"/>
  <c r="K54" i="3"/>
  <c r="H52" i="11"/>
  <c r="K52" i="11" s="1"/>
  <c r="L51" i="10"/>
  <c r="O50" i="10"/>
  <c r="N51" i="10" s="1"/>
  <c r="H51" i="9"/>
  <c r="K51" i="9" s="1"/>
  <c r="J53" i="11" l="1"/>
  <c r="M52" i="11"/>
  <c r="P51" i="10"/>
  <c r="C51" i="10"/>
  <c r="D51" i="10"/>
  <c r="M51" i="9"/>
  <c r="J52" i="9"/>
  <c r="L53" i="11" l="1"/>
  <c r="O52" i="11"/>
  <c r="N53" i="11" s="1"/>
  <c r="H51" i="10"/>
  <c r="K51" i="10" s="1"/>
  <c r="L52" i="9"/>
  <c r="O51" i="9"/>
  <c r="N52" i="9" s="1"/>
  <c r="D53" i="11" l="1"/>
  <c r="C53" i="11"/>
  <c r="P53" i="11"/>
  <c r="J52" i="10"/>
  <c r="M51" i="10"/>
  <c r="C52" i="9"/>
  <c r="P52" i="9"/>
  <c r="D52" i="9"/>
  <c r="H53" i="11" l="1"/>
  <c r="K53" i="11" s="1"/>
  <c r="L52" i="10"/>
  <c r="O51" i="10"/>
  <c r="N52" i="10" s="1"/>
  <c r="H52" i="9"/>
  <c r="K52" i="9" s="1"/>
  <c r="H54" i="11" l="1"/>
  <c r="K54" i="11"/>
  <c r="M53" i="11"/>
  <c r="O53" i="11" s="1"/>
  <c r="P52" i="10"/>
  <c r="C52" i="10"/>
  <c r="D52" i="10"/>
  <c r="J53" i="9"/>
  <c r="M52" i="9"/>
  <c r="H52" i="10" l="1"/>
  <c r="K52" i="10" s="1"/>
  <c r="L53" i="9"/>
  <c r="O52" i="9"/>
  <c r="N53" i="9" s="1"/>
  <c r="J53" i="10" l="1"/>
  <c r="M52" i="10"/>
  <c r="C53" i="9"/>
  <c r="P53" i="9"/>
  <c r="D53" i="9"/>
  <c r="L53" i="10" l="1"/>
  <c r="O52" i="10"/>
  <c r="N53" i="10" s="1"/>
  <c r="H53" i="9"/>
  <c r="P53" i="10" l="1"/>
  <c r="C53" i="10"/>
  <c r="D53" i="10"/>
  <c r="H54" i="9"/>
  <c r="K53" i="9"/>
  <c r="H53" i="10" l="1"/>
  <c r="K54" i="9"/>
  <c r="M53" i="9"/>
  <c r="O53" i="9" s="1"/>
  <c r="H54" i="10" l="1"/>
  <c r="K53" i="10"/>
  <c r="K54" i="10" l="1"/>
  <c r="M53" i="10"/>
  <c r="O53" i="10" s="1"/>
</calcChain>
</file>

<file path=xl/sharedStrings.xml><?xml version="1.0" encoding="utf-8"?>
<sst xmlns="http://schemas.openxmlformats.org/spreadsheetml/2006/main" count="261" uniqueCount="91">
  <si>
    <t>t/h</t>
  </si>
  <si>
    <t xml:space="preserve">Horizontal length: L </t>
  </si>
  <si>
    <t>m</t>
  </si>
  <si>
    <t>Conveying pipe diameter: D</t>
  </si>
  <si>
    <t xml:space="preserve">Mean particle size weighted average </t>
  </si>
  <si>
    <t>um</t>
  </si>
  <si>
    <t>kg/m3</t>
  </si>
  <si>
    <t>m/s</t>
  </si>
  <si>
    <t>m/s2</t>
  </si>
  <si>
    <t>&lt; 10-15</t>
  </si>
  <si>
    <t>m3/h</t>
  </si>
  <si>
    <t>kg/s</t>
  </si>
  <si>
    <t>Pa</t>
  </si>
  <si>
    <t xml:space="preserve">CONVEYING SYSTEM INPUT DATA </t>
  </si>
  <si>
    <t xml:space="preserve">Gas used for conveying </t>
  </si>
  <si>
    <t xml:space="preserve">Gas Inlet Temperature </t>
  </si>
  <si>
    <t xml:space="preserve">Inlet Gas Density </t>
  </si>
  <si>
    <t>Pressure type</t>
  </si>
  <si>
    <t xml:space="preserve">Type of conveying system </t>
  </si>
  <si>
    <t xml:space="preserve">Material to be conveyed </t>
  </si>
  <si>
    <t xml:space="preserve">Pipeline Material </t>
  </si>
  <si>
    <t>filter dust+basement dust</t>
  </si>
  <si>
    <t xml:space="preserve">steel </t>
  </si>
  <si>
    <t>C</t>
  </si>
  <si>
    <t xml:space="preserve">section nmber </t>
  </si>
  <si>
    <t xml:space="preserve">pipe line component </t>
  </si>
  <si>
    <t xml:space="preserve">orientation </t>
  </si>
  <si>
    <t>section equivalent length, m</t>
  </si>
  <si>
    <t>lenght, m</t>
  </si>
  <si>
    <t>inside dimater, m</t>
  </si>
  <si>
    <t>cumulative equivalent length, m</t>
  </si>
  <si>
    <t>pipe</t>
  </si>
  <si>
    <t xml:space="preserve">horizontal </t>
  </si>
  <si>
    <t xml:space="preserve">90 ° Bend </t>
  </si>
  <si>
    <t xml:space="preserve">vertical to horizontal </t>
  </si>
  <si>
    <t xml:space="preserve">PRESSURE DROP CALCULATIONS </t>
  </si>
  <si>
    <t>Section Number</t>
  </si>
  <si>
    <t>flow of gas</t>
  </si>
  <si>
    <t>solids acceleration</t>
  </si>
  <si>
    <t>flow of solids</t>
  </si>
  <si>
    <t>elevation of gas</t>
  </si>
  <si>
    <t xml:space="preserve">elevation of solids </t>
  </si>
  <si>
    <t>Misc.</t>
  </si>
  <si>
    <t xml:space="preserve">total pressure drop in section </t>
  </si>
  <si>
    <t xml:space="preserve">gas temperature </t>
  </si>
  <si>
    <t xml:space="preserve">inlet gas density </t>
  </si>
  <si>
    <t xml:space="preserve">outlet gas density </t>
  </si>
  <si>
    <t>inlet pressure</t>
  </si>
  <si>
    <t>outlet pressure</t>
  </si>
  <si>
    <t xml:space="preserve">inlet gas velocity </t>
  </si>
  <si>
    <t xml:space="preserve">outlet gas velocity </t>
  </si>
  <si>
    <t>pressure drop in each section, Pa</t>
  </si>
  <si>
    <t xml:space="preserve">Total pressure drop </t>
  </si>
  <si>
    <t xml:space="preserve">horizontal to horizontal </t>
  </si>
  <si>
    <t>horizontal to vertical</t>
  </si>
  <si>
    <t xml:space="preserve">vertical </t>
  </si>
  <si>
    <t xml:space="preserve">total </t>
  </si>
  <si>
    <t>PIPE LINE SECTIONS DATA: pipeline "A" at powderhall</t>
  </si>
  <si>
    <t>Vp</t>
  </si>
  <si>
    <t>Conveying pipe area: A</t>
  </si>
  <si>
    <t>m2</t>
  </si>
  <si>
    <t>kg/s·m2</t>
  </si>
  <si>
    <t>Solids mass velocity, W</t>
  </si>
  <si>
    <t xml:space="preserve">vertical sections </t>
  </si>
  <si>
    <t xml:space="preserve">initial conditions </t>
  </si>
  <si>
    <t xml:space="preserve">Minimum conveying velocity </t>
  </si>
  <si>
    <t>:then Vcv and Dpipe is correct</t>
  </si>
  <si>
    <t>Mixture 1</t>
  </si>
  <si>
    <t>Mixture 2</t>
  </si>
  <si>
    <t>Mixture 3</t>
  </si>
  <si>
    <t xml:space="preserve">Particle density </t>
  </si>
  <si>
    <t xml:space="preserve">(a)  Solids loading ratio: </t>
  </si>
  <si>
    <t xml:space="preserve">Solid conveying rate: </t>
  </si>
  <si>
    <t>Free fall velocity/terminal settling velocity</t>
  </si>
  <si>
    <t>M1</t>
  </si>
  <si>
    <t>M2</t>
  </si>
  <si>
    <t>M3</t>
  </si>
  <si>
    <t>if u &lt;10;</t>
  </si>
  <si>
    <t xml:space="preserve">Outlet conditions </t>
  </si>
  <si>
    <t xml:space="preserve">Reynolds number </t>
  </si>
  <si>
    <t>Turbulent flow</t>
  </si>
  <si>
    <t>Re&gt;4000</t>
  </si>
  <si>
    <t xml:space="preserve">additional pressure drop factor </t>
  </si>
  <si>
    <t xml:space="preserve">gravitaional acceleration </t>
  </si>
  <si>
    <t>lenght. m</t>
  </si>
  <si>
    <t>inside dimater. m</t>
  </si>
  <si>
    <t>section equivalent length. m</t>
  </si>
  <si>
    <t>cumulative equivalent length. m</t>
  </si>
  <si>
    <t xml:space="preserve">Air </t>
  </si>
  <si>
    <t xml:space="preserve">Choking velocity in vertical flows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</si>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</sst>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1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theme="1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92D05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4" fillId="0" borderId="0" xfId="0" applyFont="1"/>
    <xf numFmtId="0" fontId="2" fillId="2" borderId="2" xfId="0" applyFont="1" applyFill="1" applyBorder="1"/>
    <xf numFmtId="0" fontId="5" fillId="0" borderId="0" xfId="0" applyFont="1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7" fillId="0" borderId="1" xfId="0" applyFont="1" applyBorder="1"/>
    <xf numFmtId="0" fontId="0" fillId="3" borderId="1" xfId="0" applyFill="1" applyBorder="1"/>
    <xf numFmtId="0" fontId="2" fillId="5" borderId="2" xfId="0" applyFont="1" applyFill="1" applyBorder="1"/>
    <xf numFmtId="0" fontId="5" fillId="5" borderId="6" xfId="0" applyFont="1" applyFill="1" applyBorder="1"/>
    <xf numFmtId="0" fontId="5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justify" vertical="center"/>
    </xf>
    <xf numFmtId="0" fontId="5" fillId="5" borderId="3" xfId="0" applyFont="1" applyFill="1" applyBorder="1"/>
    <xf numFmtId="0" fontId="2" fillId="5" borderId="5" xfId="0" applyFont="1" applyFill="1" applyBorder="1" applyAlignment="1">
      <alignment horizontal="justify" vertic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0" fillId="5" borderId="4" xfId="0" applyFill="1" applyBorder="1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wrapText="1"/>
    </xf>
    <xf numFmtId="0" fontId="0" fillId="5" borderId="5" xfId="0" applyFill="1" applyBorder="1"/>
    <xf numFmtId="0" fontId="0" fillId="5" borderId="0" xfId="0" applyFill="1"/>
    <xf numFmtId="0" fontId="0" fillId="5" borderId="6" xfId="0" applyFill="1" applyBorder="1"/>
    <xf numFmtId="2" fontId="0" fillId="5" borderId="0" xfId="0" applyNumberFormat="1" applyFill="1"/>
    <xf numFmtId="2" fontId="0" fillId="5" borderId="6" xfId="0" applyNumberFormat="1" applyFill="1" applyBorder="1"/>
    <xf numFmtId="0" fontId="0" fillId="5" borderId="5" xfId="0" applyFill="1" applyBorder="1" applyAlignment="1">
      <alignment horizontal="justify" vertical="center"/>
    </xf>
    <xf numFmtId="0" fontId="8" fillId="5" borderId="0" xfId="0" applyFont="1" applyFill="1"/>
    <xf numFmtId="0" fontId="8" fillId="5" borderId="6" xfId="0" applyFont="1" applyFill="1" applyBorder="1"/>
    <xf numFmtId="164" fontId="0" fillId="0" borderId="1" xfId="0" applyNumberFormat="1" applyBorder="1"/>
    <xf numFmtId="0" fontId="1" fillId="5" borderId="5" xfId="0" applyFont="1" applyFill="1" applyBorder="1"/>
    <xf numFmtId="0" fontId="1" fillId="5" borderId="0" xfId="0" applyFont="1" applyFill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 vertical="top" wrapText="1"/>
    </xf>
    <xf numFmtId="2" fontId="5" fillId="0" borderId="0" xfId="0" applyNumberFormat="1" applyFont="1"/>
    <xf numFmtId="2" fontId="0" fillId="0" borderId="0" xfId="0" applyNumberFormat="1"/>
    <xf numFmtId="2" fontId="5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2" fontId="5" fillId="5" borderId="1" xfId="0" applyNumberFormat="1" applyFont="1" applyFill="1" applyBorder="1"/>
    <xf numFmtId="2" fontId="5" fillId="4" borderId="1" xfId="0" applyNumberFormat="1" applyFont="1" applyFill="1" applyBorder="1"/>
    <xf numFmtId="2" fontId="0" fillId="0" borderId="1" xfId="0" applyNumberFormat="1" applyBorder="1"/>
    <xf numFmtId="2" fontId="5" fillId="7" borderId="1" xfId="0" applyNumberFormat="1" applyFont="1" applyFill="1" applyBorder="1"/>
    <xf numFmtId="2" fontId="5" fillId="8" borderId="1" xfId="0" applyNumberFormat="1" applyFont="1" applyFill="1" applyBorder="1"/>
    <xf numFmtId="2" fontId="5" fillId="9" borderId="1" xfId="0" applyNumberFormat="1" applyFont="1" applyFill="1" applyBorder="1"/>
    <xf numFmtId="2" fontId="5" fillId="2" borderId="1" xfId="0" applyNumberFormat="1" applyFont="1" applyFill="1" applyBorder="1"/>
    <xf numFmtId="2" fontId="5" fillId="10" borderId="1" xfId="0" applyNumberFormat="1" applyFont="1" applyFill="1" applyBorder="1"/>
    <xf numFmtId="2" fontId="5" fillId="11" borderId="1" xfId="0" applyNumberFormat="1" applyFont="1" applyFill="1" applyBorder="1"/>
    <xf numFmtId="2" fontId="5" fillId="12" borderId="1" xfId="0" applyNumberFormat="1" applyFont="1" applyFill="1" applyBorder="1"/>
    <xf numFmtId="2" fontId="0" fillId="12" borderId="1" xfId="0" applyNumberFormat="1" applyFill="1" applyBorder="1"/>
    <xf numFmtId="2" fontId="5" fillId="13" borderId="1" xfId="0" applyNumberFormat="1" applyFont="1" applyFill="1" applyBorder="1"/>
    <xf numFmtId="2" fontId="5" fillId="0" borderId="1" xfId="0" applyNumberFormat="1" applyFont="1" applyBorder="1"/>
    <xf numFmtId="2" fontId="5" fillId="14" borderId="1" xfId="0" applyNumberFormat="1" applyFont="1" applyFill="1" applyBorder="1"/>
    <xf numFmtId="2" fontId="1" fillId="0" borderId="0" xfId="0" applyNumberFormat="1" applyFont="1"/>
    <xf numFmtId="0" fontId="0" fillId="7" borderId="0" xfId="0" applyFill="1" applyAlignment="1">
      <alignment horizontal="center"/>
    </xf>
    <xf numFmtId="0" fontId="3" fillId="5" borderId="5" xfId="0" applyFont="1" applyFill="1" applyBorder="1"/>
    <xf numFmtId="0" fontId="0" fillId="7" borderId="8" xfId="0" applyFill="1" applyBorder="1" applyAlignment="1">
      <alignment horizontal="center"/>
    </xf>
    <xf numFmtId="0" fontId="2" fillId="8" borderId="2" xfId="0" applyFont="1" applyFill="1" applyBorder="1"/>
    <xf numFmtId="0" fontId="0" fillId="8" borderId="3" xfId="0" applyFill="1" applyBorder="1" applyAlignment="1">
      <alignment horizontal="center"/>
    </xf>
    <xf numFmtId="0" fontId="5" fillId="8" borderId="3" xfId="0" applyFont="1" applyFill="1" applyBorder="1"/>
    <xf numFmtId="0" fontId="0" fillId="8" borderId="3" xfId="0" applyFill="1" applyBorder="1"/>
    <xf numFmtId="0" fontId="1" fillId="8" borderId="3" xfId="0" applyFont="1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0" xfId="0" applyFill="1" applyAlignment="1">
      <alignment horizontal="center"/>
    </xf>
    <xf numFmtId="0" fontId="5" fillId="8" borderId="0" xfId="0" applyFont="1" applyFill="1"/>
    <xf numFmtId="0" fontId="0" fillId="8" borderId="0" xfId="0" applyFill="1"/>
    <xf numFmtId="0" fontId="1" fillId="8" borderId="0" xfId="0" applyFont="1" applyFill="1"/>
    <xf numFmtId="0" fontId="0" fillId="8" borderId="6" xfId="0" applyFill="1" applyBorder="1"/>
    <xf numFmtId="0" fontId="0" fillId="8" borderId="7" xfId="0" applyFill="1" applyBorder="1"/>
    <xf numFmtId="0" fontId="0" fillId="2" borderId="5" xfId="0" applyFill="1" applyBorder="1"/>
    <xf numFmtId="0" fontId="0" fillId="2" borderId="7" xfId="0" applyFill="1" applyBorder="1"/>
    <xf numFmtId="1" fontId="8" fillId="0" borderId="0" xfId="0" applyNumberFormat="1" applyFont="1"/>
    <xf numFmtId="1" fontId="5" fillId="5" borderId="1" xfId="0" applyNumberFormat="1" applyFont="1" applyFill="1" applyBorder="1"/>
    <xf numFmtId="1" fontId="5" fillId="7" borderId="1" xfId="0" applyNumberFormat="1" applyFont="1" applyFill="1" applyBorder="1"/>
    <xf numFmtId="1" fontId="5" fillId="8" borderId="1" xfId="0" applyNumberFormat="1" applyFont="1" applyFill="1" applyBorder="1"/>
    <xf numFmtId="1" fontId="5" fillId="9" borderId="1" xfId="0" applyNumberFormat="1" applyFont="1" applyFill="1" applyBorder="1"/>
    <xf numFmtId="1" fontId="5" fillId="2" borderId="1" xfId="0" applyNumberFormat="1" applyFont="1" applyFill="1" applyBorder="1"/>
    <xf numFmtId="1" fontId="5" fillId="10" borderId="1" xfId="0" applyNumberFormat="1" applyFont="1" applyFill="1" applyBorder="1"/>
    <xf numFmtId="1" fontId="5" fillId="3" borderId="1" xfId="0" applyNumberFormat="1" applyFont="1" applyFill="1" applyBorder="1"/>
    <xf numFmtId="1" fontId="5" fillId="11" borderId="1" xfId="0" applyNumberFormat="1" applyFont="1" applyFill="1" applyBorder="1"/>
    <xf numFmtId="1" fontId="5" fillId="12" borderId="1" xfId="0" applyNumberFormat="1" applyFont="1" applyFill="1" applyBorder="1"/>
    <xf numFmtId="1" fontId="5" fillId="13" borderId="1" xfId="0" applyNumberFormat="1" applyFont="1" applyFill="1" applyBorder="1"/>
    <xf numFmtId="1" fontId="5" fillId="0" borderId="1" xfId="0" applyNumberFormat="1" applyFont="1" applyBorder="1"/>
    <xf numFmtId="1" fontId="0" fillId="0" borderId="0" xfId="0" applyNumberFormat="1"/>
    <xf numFmtId="164" fontId="0" fillId="15" borderId="0" xfId="0" applyNumberFormat="1" applyFill="1"/>
    <xf numFmtId="164" fontId="9" fillId="6" borderId="0" xfId="0" applyNumberFormat="1" applyFont="1" applyFill="1"/>
    <xf numFmtId="164" fontId="0" fillId="16" borderId="0" xfId="0" applyNumberFormat="1" applyFill="1"/>
    <xf numFmtId="164" fontId="0" fillId="7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justify" vertical="center"/>
    </xf>
    <xf numFmtId="2" fontId="1" fillId="11" borderId="1" xfId="0" applyNumberFormat="1" applyFont="1" applyFill="1" applyBorder="1"/>
    <xf numFmtId="0" fontId="0" fillId="7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5" xfId="0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7" borderId="6" xfId="0" applyFill="1" applyBorder="1" applyAlignment="1">
      <alignment horizontal="center"/>
    </xf>
    <xf numFmtId="164" fontId="5" fillId="7" borderId="0" xfId="0" applyNumberFormat="1" applyFont="1" applyFill="1" applyAlignment="1">
      <alignment horizontal="center"/>
    </xf>
    <xf numFmtId="165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164" fontId="0" fillId="7" borderId="6" xfId="0" applyNumberForma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64" fontId="0" fillId="8" borderId="0" xfId="0" applyNumberFormat="1" applyFill="1" applyAlignment="1">
      <alignment horizontal="center"/>
    </xf>
    <xf numFmtId="164" fontId="5" fillId="8" borderId="0" xfId="0" applyNumberFormat="1" applyFont="1" applyFill="1"/>
    <xf numFmtId="164" fontId="0" fillId="8" borderId="0" xfId="0" applyNumberFormat="1" applyFill="1"/>
    <xf numFmtId="164" fontId="0" fillId="8" borderId="6" xfId="0" applyNumberFormat="1" applyFill="1" applyBorder="1"/>
    <xf numFmtId="164" fontId="0" fillId="8" borderId="8" xfId="0" applyNumberFormat="1" applyFill="1" applyBorder="1" applyAlignment="1">
      <alignment horizontal="center"/>
    </xf>
    <xf numFmtId="164" fontId="5" fillId="8" borderId="8" xfId="0" applyNumberFormat="1" applyFont="1" applyFill="1" applyBorder="1"/>
    <xf numFmtId="164" fontId="0" fillId="8" borderId="8" xfId="0" applyNumberFormat="1" applyFill="1" applyBorder="1"/>
    <xf numFmtId="164" fontId="0" fillId="8" borderId="9" xfId="0" applyNumberFormat="1" applyFill="1" applyBorder="1"/>
    <xf numFmtId="164" fontId="0" fillId="2" borderId="3" xfId="0" applyNumberFormat="1" applyFill="1" applyBorder="1" applyAlignment="1">
      <alignment horizontal="center"/>
    </xf>
    <xf numFmtId="164" fontId="5" fillId="2" borderId="3" xfId="0" applyNumberFormat="1" applyFont="1" applyFill="1" applyBorder="1"/>
    <xf numFmtId="164" fontId="0" fillId="2" borderId="3" xfId="0" applyNumberFormat="1" applyFill="1" applyBorder="1"/>
    <xf numFmtId="164" fontId="1" fillId="2" borderId="3" xfId="0" applyNumberFormat="1" applyFont="1" applyFill="1" applyBorder="1"/>
    <xf numFmtId="164" fontId="0" fillId="2" borderId="4" xfId="0" applyNumberFormat="1" applyFill="1" applyBorder="1"/>
    <xf numFmtId="164" fontId="0" fillId="2" borderId="0" xfId="0" applyNumberFormat="1" applyFill="1" applyAlignment="1">
      <alignment horizontal="center"/>
    </xf>
    <xf numFmtId="164" fontId="5" fillId="2" borderId="0" xfId="0" applyNumberFormat="1" applyFont="1" applyFill="1"/>
    <xf numFmtId="164" fontId="0" fillId="2" borderId="0" xfId="0" applyNumberFormat="1" applyFill="1"/>
    <xf numFmtId="164" fontId="1" fillId="2" borderId="0" xfId="0" applyNumberFormat="1" applyFont="1" applyFill="1"/>
    <xf numFmtId="164" fontId="0" fillId="2" borderId="6" xfId="0" applyNumberFormat="1" applyFill="1" applyBorder="1"/>
    <xf numFmtId="164" fontId="0" fillId="2" borderId="8" xfId="0" applyNumberFormat="1" applyFill="1" applyBorder="1" applyAlignment="1">
      <alignment horizontal="center"/>
    </xf>
    <xf numFmtId="164" fontId="5" fillId="2" borderId="8" xfId="0" applyNumberFormat="1" applyFont="1" applyFill="1" applyBorder="1"/>
    <xf numFmtId="164" fontId="0" fillId="2" borderId="8" xfId="0" applyNumberFormat="1" applyFill="1" applyBorder="1"/>
    <xf numFmtId="164" fontId="0" fillId="2" borderId="9" xfId="0" applyNumberFormat="1" applyFill="1" applyBorder="1"/>
    <xf numFmtId="166" fontId="0" fillId="8" borderId="0" xfId="0" applyNumberFormat="1" applyFill="1"/>
    <xf numFmtId="166" fontId="0" fillId="8" borderId="8" xfId="0" applyNumberFormat="1" applyFill="1" applyBorder="1"/>
    <xf numFmtId="166" fontId="0" fillId="2" borderId="3" xfId="0" applyNumberFormat="1" applyFill="1" applyBorder="1"/>
    <xf numFmtId="166" fontId="0" fillId="2" borderId="0" xfId="0" applyNumberFormat="1" applyFill="1"/>
    <xf numFmtId="166" fontId="0" fillId="2" borderId="8" xfId="0" applyNumberFormat="1" applyFill="1" applyBorder="1"/>
    <xf numFmtId="0" fontId="1" fillId="5" borderId="3" xfId="0" applyFont="1" applyFill="1" applyBorder="1"/>
    <xf numFmtId="2" fontId="5" fillId="5" borderId="0" xfId="0" applyNumberFormat="1" applyFont="1" applyFill="1"/>
    <xf numFmtId="1" fontId="5" fillId="0" borderId="1" xfId="0" quotePrefix="1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1" fontId="5" fillId="0" borderId="13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1393497</xdr:colOff>
      <xdr:row>4</xdr:row>
      <xdr:rowOff>25400</xdr:rowOff>
    </xdr:from>
    <xdr:to>
      <xdr:col>0</xdr:col>
      <xdr:colOff>1583997</xdr:colOff>
      <xdr:row>4</xdr:row>
      <xdr:rowOff>208017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32D6F2C-354E-8B5D-CC4D-D8F4D7CA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497" y="868417"/>
          <a:ext cx="190500" cy="18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2428292</xdr:colOff>
      <xdr:row>13</xdr:row>
      <xdr:rowOff>12700</xdr:rowOff>
    </xdr:from>
    <xdr:to>
      <xdr:col>0</xdr:col>
      <xdr:colOff>2821992</xdr:colOff>
      <xdr:row>13</xdr:row>
      <xdr:rowOff>190500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0A6E1BD-3CE7-C17C-3A08-010E7037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721" y="893924"/>
          <a:ext cx="3937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2604522</xdr:colOff>
      <xdr:row>15</xdr:row>
      <xdr:rowOff>47631</xdr:rowOff>
    </xdr:from>
    <xdr:to>
      <xdr:col>0</xdr:col>
      <xdr:colOff>2795022</xdr:colOff>
      <xdr:row>15</xdr:row>
      <xdr:rowOff>175821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30655E9-A346-1472-0FE9-31864C39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4522" y="2565734"/>
          <a:ext cx="190500" cy="128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304800</xdr:colOff>
      <xdr:row>22</xdr:row>
      <xdr:rowOff>25400</xdr:rowOff>
    </xdr:from>
    <xdr:to>
      <xdr:col>0</xdr:col>
      <xdr:colOff>490946</xdr:colOff>
      <xdr:row>22</xdr:row>
      <xdr:rowOff>199136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62639FE-1D2E-3C47-8740-D03CB5F2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521434"/>
          <a:ext cx="186146" cy="173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304800</xdr:colOff>
      <xdr:row>22</xdr:row>
      <xdr:rowOff>25400</xdr:rowOff>
    </xdr:from>
    <xdr:to>
      <xdr:col>8</xdr:col>
      <xdr:colOff>546100</xdr:colOff>
      <xdr:row>22</xdr:row>
      <xdr:rowOff>228600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B4E2297-1E68-464F-A9F1-BC0CDDF3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300" y="25400"/>
          <a:ext cx="2413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9</xdr:col>
      <xdr:colOff>330200</xdr:colOff>
      <xdr:row>22</xdr:row>
      <xdr:rowOff>203200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28AB8CD-9DD8-AEB1-01E7-A5B3BAD5E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0"/>
          <a:ext cx="330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1532566</xdr:colOff>
      <xdr:row>19</xdr:row>
      <xdr:rowOff>6130</xdr:rowOff>
    </xdr:from>
    <xdr:to>
      <xdr:col>0</xdr:col>
      <xdr:colOff>1685751</xdr:colOff>
      <xdr:row>20</xdr:row>
      <xdr:rowOff>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1837DFA-4D80-A489-BF45-2AC9AF273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566" y="4199320"/>
          <a:ext cx="153185" cy="245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710734</xdr:colOff>
      <xdr:row>19</xdr:row>
      <xdr:rowOff>11651</xdr:rowOff>
    </xdr:from>
    <xdr:to>
      <xdr:col>0</xdr:col>
      <xdr:colOff>10486</xdr:colOff>
      <xdr:row>20</xdr:row>
      <xdr:rowOff>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9961810-EF90-C7E0-6EA7-2FFD2CFDA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4954" y="2691468"/>
          <a:ext cx="127000" cy="221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22</xdr:row>
      <xdr:rowOff>0</xdr:rowOff>
    </xdr:from>
    <xdr:to>
      <xdr:col>5</xdr:col>
      <xdr:colOff>88900</xdr:colOff>
      <xdr:row>22</xdr:row>
      <xdr:rowOff>177800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054C24E-77CD-E889-ECD1-9A8E5426B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0"/>
          <a:ext cx="889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139700</xdr:colOff>
      <xdr:row>22</xdr:row>
      <xdr:rowOff>190500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95FDBB3D-7881-CF7C-6D65-78CA0FAD8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0" y="0"/>
          <a:ext cx="139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203200</xdr:colOff>
      <xdr:row>22</xdr:row>
      <xdr:rowOff>177800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88C62C9-E324-E1C9-71A6-A6ED9D036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203200</xdr:colOff>
      <xdr:row>22</xdr:row>
      <xdr:rowOff>177800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67BEBFCA-DC0D-F6D6-F405-06B8B87D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8500" y="0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241300</xdr:colOff>
      <xdr:row>22</xdr:row>
      <xdr:rowOff>177800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D10EEB7-C814-7187-A091-63BD9B5C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22</xdr:row>
      <xdr:rowOff>0</xdr:rowOff>
    </xdr:from>
    <xdr:to>
      <xdr:col>7</xdr:col>
      <xdr:colOff>139700</xdr:colOff>
      <xdr:row>22</xdr:row>
      <xdr:rowOff>177800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20C11AF0-401A-8118-FDBC-9AF65174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0"/>
          <a:ext cx="1397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186146</xdr:colOff>
      <xdr:row>22</xdr:row>
      <xdr:rowOff>173736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6862B364-3D6F-B24E-84A7-7BF4DB7F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0"/>
          <a:ext cx="186146" cy="173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2463363</xdr:colOff>
      <xdr:row>16</xdr:row>
      <xdr:rowOff>10948</xdr:rowOff>
    </xdr:from>
    <xdr:to>
      <xdr:col>0</xdr:col>
      <xdr:colOff>2768163</xdr:colOff>
      <xdr:row>16</xdr:row>
      <xdr:rowOff>188748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4F01B2-7859-8D4A-9B6A-BA002B6A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363" y="2737069"/>
          <a:ext cx="3048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304800</xdr:colOff>
      <xdr:row>33</xdr:row>
      <xdr:rowOff>25400</xdr:rowOff>
    </xdr:from>
    <xdr:to>
      <xdr:col>0</xdr:col>
      <xdr:colOff>490946</xdr:colOff>
      <xdr:row>33</xdr:row>
      <xdr:rowOff>199136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5EAEAB9-B328-9A4B-B638-B7995223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521434"/>
          <a:ext cx="186146" cy="173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304800</xdr:colOff>
      <xdr:row>33</xdr:row>
      <xdr:rowOff>25400</xdr:rowOff>
    </xdr:from>
    <xdr:to>
      <xdr:col>8</xdr:col>
      <xdr:colOff>546100</xdr:colOff>
      <xdr:row>33</xdr:row>
      <xdr:rowOff>228600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5AA45D05-C8F5-6847-8840-C78C1DFA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266" y="5521434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33</xdr:row>
      <xdr:rowOff>0</xdr:rowOff>
    </xdr:from>
    <xdr:to>
      <xdr:col>9</xdr:col>
      <xdr:colOff>330200</xdr:colOff>
      <xdr:row>33</xdr:row>
      <xdr:rowOff>203200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C3F6905D-FF2C-3547-A240-B39ED7BF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2586" y="5496034"/>
          <a:ext cx="330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33</xdr:row>
      <xdr:rowOff>0</xdr:rowOff>
    </xdr:from>
    <xdr:to>
      <xdr:col>5</xdr:col>
      <xdr:colOff>88900</xdr:colOff>
      <xdr:row>33</xdr:row>
      <xdr:rowOff>177800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2E00A4B3-F219-864C-A672-8F0C886E3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8103" y="5496034"/>
          <a:ext cx="889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3</xdr:col>
      <xdr:colOff>139700</xdr:colOff>
      <xdr:row>33</xdr:row>
      <xdr:rowOff>190500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4952636-9472-024A-A1BA-484A336E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862" y="5496034"/>
          <a:ext cx="139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2</xdr:col>
      <xdr:colOff>203200</xdr:colOff>
      <xdr:row>33</xdr:row>
      <xdr:rowOff>177800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E21350B8-2AC8-DA4F-9F0B-29A8874A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4741" y="5496034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33</xdr:row>
      <xdr:rowOff>0</xdr:rowOff>
    </xdr:from>
    <xdr:to>
      <xdr:col>4</xdr:col>
      <xdr:colOff>203200</xdr:colOff>
      <xdr:row>33</xdr:row>
      <xdr:rowOff>177800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5D48A3B0-8BD5-3A46-803C-49099DC0A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6983" y="5496034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241300</xdr:colOff>
      <xdr:row>33</xdr:row>
      <xdr:rowOff>177800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E8366AD4-C6AC-3F44-9CF1-D5EA40BA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3707" y="5496034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33</xdr:row>
      <xdr:rowOff>0</xdr:rowOff>
    </xdr:from>
    <xdr:to>
      <xdr:col>7</xdr:col>
      <xdr:colOff>139700</xdr:colOff>
      <xdr:row>33</xdr:row>
      <xdr:rowOff>177800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1EF408FE-3AFD-C346-954C-126FE9FA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0345" y="5496034"/>
          <a:ext cx="1397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186146</xdr:colOff>
      <xdr:row>33</xdr:row>
      <xdr:rowOff>173736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5E5686C0-2196-1648-8682-76E68A9D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5496034"/>
          <a:ext cx="186146" cy="173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304800</xdr:colOff>
      <xdr:row>47</xdr:row>
      <xdr:rowOff>25400</xdr:rowOff>
    </xdr:from>
    <xdr:to>
      <xdr:col>0</xdr:col>
      <xdr:colOff>490946</xdr:colOff>
      <xdr:row>47</xdr:row>
      <xdr:rowOff>199136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94EF6526-9CAC-8247-BDBC-A3A9D061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9889797"/>
          <a:ext cx="186146" cy="173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304800</xdr:colOff>
      <xdr:row>47</xdr:row>
      <xdr:rowOff>25400</xdr:rowOff>
    </xdr:from>
    <xdr:to>
      <xdr:col>8</xdr:col>
      <xdr:colOff>546100</xdr:colOff>
      <xdr:row>47</xdr:row>
      <xdr:rowOff>228600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C480EDC0-E090-624C-B159-3841A970E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266" y="9889797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47</xdr:row>
      <xdr:rowOff>0</xdr:rowOff>
    </xdr:from>
    <xdr:to>
      <xdr:col>9</xdr:col>
      <xdr:colOff>330200</xdr:colOff>
      <xdr:row>47</xdr:row>
      <xdr:rowOff>203200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B5567B2E-38D5-0B4D-B9FA-B1D5109D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2586" y="9864397"/>
          <a:ext cx="330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47</xdr:row>
      <xdr:rowOff>0</xdr:rowOff>
    </xdr:from>
    <xdr:to>
      <xdr:col>5</xdr:col>
      <xdr:colOff>88900</xdr:colOff>
      <xdr:row>47</xdr:row>
      <xdr:rowOff>177800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5EDF1C7F-2590-6341-9F46-A87B029A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8103" y="9864397"/>
          <a:ext cx="889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47</xdr:row>
      <xdr:rowOff>0</xdr:rowOff>
    </xdr:from>
    <xdr:to>
      <xdr:col>3</xdr:col>
      <xdr:colOff>139700</xdr:colOff>
      <xdr:row>47</xdr:row>
      <xdr:rowOff>190500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49822AA6-669A-FD48-86C3-D7903762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862" y="9864397"/>
          <a:ext cx="139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203200</xdr:colOff>
      <xdr:row>47</xdr:row>
      <xdr:rowOff>177800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3B5702FA-93B8-DA4E-8359-636D88FD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4741" y="9864397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47</xdr:row>
      <xdr:rowOff>0</xdr:rowOff>
    </xdr:from>
    <xdr:to>
      <xdr:col>4</xdr:col>
      <xdr:colOff>203200</xdr:colOff>
      <xdr:row>47</xdr:row>
      <xdr:rowOff>177800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B3BA4E64-2A7A-9941-AE26-BF9C0895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6983" y="9864397"/>
          <a:ext cx="2032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241300</xdr:colOff>
      <xdr:row>47</xdr:row>
      <xdr:rowOff>177800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3019572-CBF8-BB43-87EB-8EB40D62E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3707" y="9864397"/>
          <a:ext cx="2413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0</xdr:colOff>
      <xdr:row>47</xdr:row>
      <xdr:rowOff>0</xdr:rowOff>
    </xdr:from>
    <xdr:to>
      <xdr:col>7</xdr:col>
      <xdr:colOff>139700</xdr:colOff>
      <xdr:row>47</xdr:row>
      <xdr:rowOff>177800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B4440E3F-2A00-9D40-B13A-B3520FE5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0345" y="9864397"/>
          <a:ext cx="1397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186146</xdr:colOff>
      <xdr:row>47</xdr:row>
      <xdr:rowOff>173736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314F2FA3-8647-4B4F-8816-F081D784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9864397"/>
          <a:ext cx="186146" cy="173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405087</xdr:colOff>
      <xdr:row>16</xdr:row>
      <xdr:rowOff>197070</xdr:rowOff>
    </xdr:from>
    <xdr:to>
      <xdr:col>9</xdr:col>
      <xdr:colOff>320566</xdr:colOff>
      <xdr:row>18</xdr:row>
      <xdr:rowOff>168604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C6B3D7A4-CE13-7A00-C5C5-B98EB77DC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4311" y="3547242"/>
          <a:ext cx="2378841" cy="398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241300</xdr:colOff>
      <xdr:row>1</xdr:row>
      <xdr:rowOff>25400</xdr:rowOff>
    </xdr:from>
    <xdr:to>
      <xdr:col>14</xdr:col>
      <xdr:colOff>194310</xdr:colOff>
      <xdr:row>19</xdr:row>
      <xdr:rowOff>40005</xdr:rowOff>
    </xdr:to>
    <xdr:pic>
      <xdr:nvPicPr>
        <xdr:cNvPr id="2" name="Picture 1" descr="Diagram, engineering drawing&#10;&#10;Description automatically generated">
          <a:extLst>
            <a:ext uri="{FF2B5EF4-FFF2-40B4-BE49-F238E27FC236}">
              <a16:creationId xmlns:a16="http://schemas.microsoft.com/office/drawing/2014/main" id="{92B1ED1E-E72F-547F-E5E7-0FB066C43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0" y="228600"/>
          <a:ext cx="5731510" cy="4116705"/>
        </a:xfrm>
        <a:prstGeom prst="rect">
          <a:avLst/>
        </a:prstGeom>
      </xdr:spPr>
    </xdr:pic>
    <xdr:clientData/>
  </xdr:twoCellAnchor>
  <xdr:twoCellAnchor>
    <xdr:from>
      <xdr:col>13</xdr:col>
      <xdr:colOff>749300</xdr:colOff>
      <xdr:row>15</xdr:row>
      <xdr:rowOff>88901</xdr:rowOff>
    </xdr:from>
    <xdr:to>
      <xdr:col>15</xdr:col>
      <xdr:colOff>469900</xdr:colOff>
      <xdr:row>16</xdr:row>
      <xdr:rowOff>139701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8C0DE7A8-7B2D-F18C-BCF7-0DF07824802B}"/>
            </a:ext>
          </a:extLst>
        </xdr:cNvPr>
        <xdr:cNvSpPr txBox="1"/>
      </xdr:nvSpPr>
      <xdr:spPr>
        <a:xfrm>
          <a:off x="13335000" y="3581401"/>
          <a:ext cx="1371600" cy="254000"/>
        </a:xfrm>
        <a:prstGeom prst="rect">
          <a:avLst/>
        </a:prstGeom>
        <a:solidFill>
          <a:schemeClr val="bg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hangingPunct="0">
            <a:spcBef>
              <a:spcPts val="600"/>
            </a:spcBef>
            <a:spcAft>
              <a:spcPts val="300"/>
            </a:spcAft>
          </a:pPr>
          <a:r>
            <a:rPr lang="nb-NO" sz="900">
              <a:solidFill>
                <a:srgbClr val="FF0000"/>
              </a:solidFill>
              <a:effectLst/>
              <a:latin typeface="Calibri" panose="020F0502020204030204" pitchFamily="34" charset="0"/>
              <a:ea typeface="Times New Roman" panose="02020603050405020304" pitchFamily="18" charset="0"/>
            </a:rPr>
            <a:t>Pipeline A: length= 79m</a:t>
          </a:r>
          <a:endParaRPr lang="en-N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isn-my.sharepoint.com/Users/thanushikumarawela/Documents/Academics/Spring%202023/FMH606%20Master's%20Thesis%20/Excel%20files%20/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ixtures"/>
      <sheetName val="Comparison"/>
      <sheetName val="Svampe butts"/>
      <sheetName val="Basement dust"/>
      <sheetName val="Filter dust"/>
      <sheetName val="Alumina Fint stoff, Kaia"/>
      <sheetName val="Secondary Alumina"/>
      <sheetName val="Densities"/>
      <sheetName val="Void fraction"/>
      <sheetName val="NLPM to m s"/>
    </sheetNames>
    <sheetDataSet>
      <sheetData sheetId="0">
        <row r="3">
          <cell r="D3">
            <v>1.8348000000000001E-5</v>
          </cell>
        </row>
        <row r="6">
          <cell r="C6">
            <v>3493.44</v>
          </cell>
          <cell r="E6">
            <v>77.145280000000014</v>
          </cell>
          <cell r="H6">
            <v>0.67366280418730973</v>
          </cell>
          <cell r="L6">
            <v>41.851296704905067</v>
          </cell>
        </row>
        <row r="7">
          <cell r="C7">
            <v>3505.8720000000003</v>
          </cell>
          <cell r="E7">
            <v>81.806439999999981</v>
          </cell>
          <cell r="H7">
            <v>0.67987661903397056</v>
          </cell>
          <cell r="L7">
            <v>48.389317027542475</v>
          </cell>
        </row>
        <row r="8">
          <cell r="C8">
            <v>3498.4128000000001</v>
          </cell>
          <cell r="E8">
            <v>79.009744000000012</v>
          </cell>
          <cell r="H8">
            <v>0.67614833012597408</v>
          </cell>
          <cell r="L8">
            <v>44.341822441362282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42241-793C-5241-81A8-A70FF3BAB42A}">
  <dimension ref="A1:R61"/>
  <sheetViews>
    <sheetView tabSelected="1" zoomScale="93" zoomScaleNormal="93" workbookViewId="0">
      <selection activeCell="H5" sqref="H5"/>
    </sheetView>
  </sheetViews>
  <sheetFormatPr baseColWidth="10" defaultRowHeight="16" x14ac:dyDescent="0.2"/>
  <cols>
    <col min="1" max="1" width="37.5" customWidth="1"/>
    <col min="2" max="2" width="13.1640625" style="20" customWidth="1"/>
    <col min="3" max="3" width="10.83203125" style="4"/>
    <col min="5" max="5" width="10.83203125" style="1"/>
    <col min="17" max="17" width="37.33203125" customWidth="1"/>
    <col min="18" max="18" width="22.6640625" style="20" customWidth="1"/>
  </cols>
  <sheetData>
    <row r="1" spans="1:6" x14ac:dyDescent="0.2">
      <c r="A1" s="10" t="s">
        <v>13</v>
      </c>
      <c r="B1" s="17"/>
      <c r="C1" s="15"/>
      <c r="D1" s="18"/>
      <c r="E1" s="144"/>
      <c r="F1" s="19"/>
    </row>
    <row r="2" spans="1:6" x14ac:dyDescent="0.2">
      <c r="A2" s="16"/>
      <c r="B2" s="21"/>
      <c r="C2" s="12"/>
      <c r="D2" s="29" t="s">
        <v>67</v>
      </c>
      <c r="E2" s="29" t="s">
        <v>68</v>
      </c>
      <c r="F2" s="30" t="s">
        <v>69</v>
      </c>
    </row>
    <row r="3" spans="1:6" ht="17" x14ac:dyDescent="0.2">
      <c r="A3" s="22" t="s">
        <v>18</v>
      </c>
      <c r="B3" s="21" t="s">
        <v>17</v>
      </c>
      <c r="C3" s="12"/>
      <c r="D3" s="12"/>
      <c r="E3" s="12"/>
      <c r="F3" s="11"/>
    </row>
    <row r="4" spans="1:6" x14ac:dyDescent="0.2">
      <c r="A4" s="23" t="s">
        <v>19</v>
      </c>
      <c r="B4" s="21" t="s">
        <v>21</v>
      </c>
      <c r="C4" s="12"/>
      <c r="D4" s="12"/>
      <c r="E4" s="12"/>
      <c r="F4" s="11"/>
    </row>
    <row r="5" spans="1:6" x14ac:dyDescent="0.2">
      <c r="A5" s="32" t="s">
        <v>72</v>
      </c>
      <c r="B5" s="33">
        <f>A26</f>
        <v>1</v>
      </c>
      <c r="C5" s="13" t="s">
        <v>0</v>
      </c>
      <c r="D5" s="24"/>
      <c r="E5" s="13"/>
      <c r="F5" s="25"/>
    </row>
    <row r="6" spans="1:6" x14ac:dyDescent="0.2">
      <c r="A6" s="23" t="s">
        <v>1</v>
      </c>
      <c r="B6" s="21">
        <v>79</v>
      </c>
      <c r="C6" s="12" t="s">
        <v>2</v>
      </c>
      <c r="D6" s="24"/>
      <c r="E6" s="13"/>
      <c r="F6" s="25"/>
    </row>
    <row r="7" spans="1:6" x14ac:dyDescent="0.2">
      <c r="A7" s="23" t="s">
        <v>3</v>
      </c>
      <c r="B7" s="21">
        <v>7.4999999999999997E-2</v>
      </c>
      <c r="C7" s="12" t="s">
        <v>2</v>
      </c>
      <c r="D7" s="24"/>
      <c r="E7" s="13"/>
      <c r="F7" s="25"/>
    </row>
    <row r="8" spans="1:6" x14ac:dyDescent="0.2">
      <c r="A8" s="23" t="s">
        <v>59</v>
      </c>
      <c r="B8" s="21">
        <f>PI()*B7^2/4</f>
        <v>4.4178646691106467E-3</v>
      </c>
      <c r="C8" s="12" t="s">
        <v>60</v>
      </c>
      <c r="D8" s="24"/>
      <c r="E8" s="13"/>
      <c r="F8" s="25"/>
    </row>
    <row r="9" spans="1:6" ht="17" x14ac:dyDescent="0.2">
      <c r="A9" s="22" t="s">
        <v>20</v>
      </c>
      <c r="B9" s="21" t="s">
        <v>22</v>
      </c>
      <c r="C9" s="12"/>
      <c r="D9" s="24"/>
      <c r="E9" s="13"/>
      <c r="F9" s="25"/>
    </row>
    <row r="10" spans="1:6" x14ac:dyDescent="0.2">
      <c r="A10" s="23" t="s">
        <v>83</v>
      </c>
      <c r="B10" s="21">
        <v>9.81</v>
      </c>
      <c r="C10" s="12" t="s">
        <v>8</v>
      </c>
      <c r="D10" s="24"/>
      <c r="E10" s="13"/>
      <c r="F10" s="25"/>
    </row>
    <row r="11" spans="1:6" x14ac:dyDescent="0.2">
      <c r="A11" s="23" t="s">
        <v>14</v>
      </c>
      <c r="B11" s="21" t="s">
        <v>88</v>
      </c>
      <c r="C11" s="12"/>
      <c r="D11" s="24"/>
      <c r="E11" s="13"/>
      <c r="F11" s="25"/>
    </row>
    <row r="12" spans="1:6" x14ac:dyDescent="0.2">
      <c r="A12" s="23" t="s">
        <v>15</v>
      </c>
      <c r="B12" s="21">
        <v>25</v>
      </c>
      <c r="C12" s="12" t="s">
        <v>23</v>
      </c>
      <c r="D12" s="24"/>
      <c r="E12" s="13"/>
      <c r="F12" s="25"/>
    </row>
    <row r="13" spans="1:6" x14ac:dyDescent="0.2">
      <c r="A13" s="23" t="s">
        <v>16</v>
      </c>
      <c r="B13" s="91">
        <f>'pressure drop calculations'!L4</f>
        <v>2.34</v>
      </c>
      <c r="C13" s="12" t="str">
        <f>C15</f>
        <v>kg/m3</v>
      </c>
      <c r="D13" s="24"/>
      <c r="E13" s="13"/>
      <c r="F13" s="25"/>
    </row>
    <row r="14" spans="1:6" x14ac:dyDescent="0.2">
      <c r="A14" s="23" t="s">
        <v>4</v>
      </c>
      <c r="B14" s="21"/>
      <c r="C14" s="12" t="s">
        <v>5</v>
      </c>
      <c r="D14" s="26">
        <f>[1]Mixtures!$E$6</f>
        <v>77.145280000000014</v>
      </c>
      <c r="E14" s="145">
        <f>[1]Mixtures!$E$7</f>
        <v>81.806439999999981</v>
      </c>
      <c r="F14" s="27">
        <f>[1]Mixtures!$E$8</f>
        <v>79.009744000000012</v>
      </c>
    </row>
    <row r="15" spans="1:6" x14ac:dyDescent="0.2">
      <c r="A15" s="23" t="s">
        <v>70</v>
      </c>
      <c r="B15" s="21"/>
      <c r="C15" s="12" t="s">
        <v>6</v>
      </c>
      <c r="D15" s="26">
        <f>[1]Mixtures!$C$6</f>
        <v>3493.44</v>
      </c>
      <c r="E15" s="145">
        <f>[1]Mixtures!$C$7</f>
        <v>3505.8720000000003</v>
      </c>
      <c r="F15" s="27">
        <f>[1]Mixtures!$C$8</f>
        <v>3498.4128000000001</v>
      </c>
    </row>
    <row r="16" spans="1:6" x14ac:dyDescent="0.2">
      <c r="A16" s="23" t="s">
        <v>73</v>
      </c>
      <c r="B16" s="21"/>
      <c r="C16" s="12" t="s">
        <v>7</v>
      </c>
      <c r="D16" s="26">
        <f>[1]Mixtures!$L$6/100</f>
        <v>0.41851296704905067</v>
      </c>
      <c r="E16" s="145">
        <f>[1]Mixtures!$L$7/100</f>
        <v>0.48389317027542478</v>
      </c>
      <c r="F16" s="27">
        <f>[1]Mixtures!$L$8/100</f>
        <v>0.44341822441362283</v>
      </c>
    </row>
    <row r="17" spans="1:11" x14ac:dyDescent="0.2">
      <c r="A17" s="23" t="s">
        <v>65</v>
      </c>
      <c r="B17" s="21"/>
      <c r="C17" s="12" t="s">
        <v>7</v>
      </c>
      <c r="D17" s="26">
        <f>0.25*SQRT($B$7*$B$10)/SQRT($B$13/D15)</f>
        <v>8.2855980240043401</v>
      </c>
      <c r="E17" s="26">
        <f>0.25*SQRT($B$7*$B$10)/SQRT($B$13/E15)</f>
        <v>8.300327785464491</v>
      </c>
      <c r="F17" s="27">
        <f>0.25*SQRT($B$7*$B$10)/SQRT($B$13/F15)</f>
        <v>8.2914930686633461</v>
      </c>
    </row>
    <row r="18" spans="1:11" ht="17" x14ac:dyDescent="0.2">
      <c r="A18" s="92" t="s">
        <v>89</v>
      </c>
      <c r="B18" s="21"/>
      <c r="C18" s="12" t="s">
        <v>7</v>
      </c>
      <c r="D18" s="26">
        <f>SQRT(2*$B$10*(([1]Mixtures!$H$6^-4.7)-1)/6.81/10^5/($B$13/D15)^2.2)+D16</f>
        <v>39.099445208002066</v>
      </c>
      <c r="E18" s="26">
        <f>SQRT(2*$B$10*(([1]Mixtures!$H$7^-4.7)-1)/6.81/10^5/($B$13/E15)^2.2)+E16</f>
        <v>38.331930356273887</v>
      </c>
      <c r="F18" s="26">
        <f>SQRT(2*$B$10*(([1]Mixtures!$H$8^-4.7)-1)/6.81/10^5/($B$13/F15)^2.2)+F16</f>
        <v>38.788961065415741</v>
      </c>
    </row>
    <row r="19" spans="1:11" ht="17" x14ac:dyDescent="0.2">
      <c r="A19" s="28" t="s">
        <v>62</v>
      </c>
      <c r="B19" s="21"/>
      <c r="C19" s="12" t="s">
        <v>61</v>
      </c>
      <c r="D19" s="24">
        <f>$B$26/$B$8</f>
        <v>62.876026900501863</v>
      </c>
      <c r="E19" s="24">
        <f t="shared" ref="E19:F19" si="0">$B$26/$B$8</f>
        <v>62.876026900501863</v>
      </c>
      <c r="F19" s="24">
        <f t="shared" si="0"/>
        <v>62.876026900501863</v>
      </c>
    </row>
    <row r="20" spans="1:11" ht="17" x14ac:dyDescent="0.2">
      <c r="A20" s="28" t="s">
        <v>71</v>
      </c>
      <c r="B20" s="14" t="s">
        <v>9</v>
      </c>
      <c r="C20" s="12"/>
      <c r="D20" s="24"/>
      <c r="E20" s="13"/>
      <c r="F20" s="25"/>
    </row>
    <row r="21" spans="1:11" x14ac:dyDescent="0.2">
      <c r="A21" s="57" t="s">
        <v>82</v>
      </c>
      <c r="B21" s="21"/>
      <c r="C21" s="12"/>
      <c r="D21" s="24"/>
      <c r="E21" s="13"/>
      <c r="F21" s="25"/>
    </row>
    <row r="22" spans="1:11" s="95" customFormat="1" x14ac:dyDescent="0.2">
      <c r="A22" s="97" t="s">
        <v>74</v>
      </c>
      <c r="B22" s="94"/>
      <c r="C22" s="98"/>
      <c r="D22" s="94"/>
      <c r="E22" s="99"/>
      <c r="F22" s="94"/>
      <c r="G22" s="94"/>
      <c r="H22" s="94"/>
      <c r="I22" s="94"/>
      <c r="J22" s="94"/>
      <c r="K22" s="100"/>
    </row>
    <row r="23" spans="1:11" s="95" customFormat="1" x14ac:dyDescent="0.2">
      <c r="A23" s="101"/>
      <c r="B23" s="96"/>
      <c r="C23" s="102"/>
      <c r="D23" s="96"/>
      <c r="E23" s="96"/>
      <c r="F23" s="103"/>
      <c r="G23" s="96" t="s">
        <v>58</v>
      </c>
      <c r="H23" s="96"/>
      <c r="I23" s="96"/>
      <c r="J23" s="96"/>
      <c r="K23" s="104"/>
    </row>
    <row r="24" spans="1:11" s="95" customFormat="1" x14ac:dyDescent="0.2">
      <c r="A24" s="101" t="s">
        <v>0</v>
      </c>
      <c r="B24" s="96" t="s">
        <v>11</v>
      </c>
      <c r="C24" s="102" t="s">
        <v>7</v>
      </c>
      <c r="D24" s="96" t="s">
        <v>10</v>
      </c>
      <c r="E24" s="96" t="s">
        <v>11</v>
      </c>
      <c r="F24" s="103"/>
      <c r="G24" s="96"/>
      <c r="H24" s="96"/>
      <c r="I24" s="96" t="s">
        <v>7</v>
      </c>
      <c r="J24" s="96"/>
      <c r="K24" s="104"/>
    </row>
    <row r="25" spans="1:11" s="20" customFormat="1" x14ac:dyDescent="0.2">
      <c r="A25" s="105"/>
      <c r="B25" s="56"/>
      <c r="C25" s="106"/>
      <c r="D25" s="56"/>
      <c r="E25" s="56"/>
      <c r="F25" s="107"/>
      <c r="G25" s="56"/>
      <c r="H25" s="56"/>
      <c r="I25" s="56"/>
      <c r="J25" s="56"/>
      <c r="K25" s="108"/>
    </row>
    <row r="26" spans="1:11" s="20" customFormat="1" x14ac:dyDescent="0.2">
      <c r="A26" s="105">
        <v>1</v>
      </c>
      <c r="B26" s="90">
        <f>A26*1000/3600</f>
        <v>0.27777777777777779</v>
      </c>
      <c r="C26" s="106">
        <v>30</v>
      </c>
      <c r="D26" s="90">
        <f>C26*$B$8</f>
        <v>0.1325359400733194</v>
      </c>
      <c r="E26" s="90">
        <f t="shared" ref="E26:E31" si="1">D26*$B$13</f>
        <v>0.31013409977156736</v>
      </c>
      <c r="F26" s="109">
        <f>$B$26/E26</f>
        <v>0.895669898867548</v>
      </c>
      <c r="G26" s="56">
        <f>C26*0.8</f>
        <v>24</v>
      </c>
      <c r="H26" s="110">
        <f>0.005*(1-K26^-1)/(1+0.00125*J26^2)</f>
        <v>4.8555953078882209E-3</v>
      </c>
      <c r="I26" s="111">
        <f>D16</f>
        <v>0.41851296704905067</v>
      </c>
      <c r="J26" s="90">
        <f>$I$26/SQRT($B$10*$B$7)</f>
        <v>0.48791456556810203</v>
      </c>
      <c r="K26" s="112">
        <f>C26/SQRT($B$10*$B$7)</f>
        <v>34.974870839133452</v>
      </c>
    </row>
    <row r="27" spans="1:11" s="20" customFormat="1" x14ac:dyDescent="0.2">
      <c r="A27" s="105"/>
      <c r="B27" s="90"/>
      <c r="C27" s="106">
        <v>32</v>
      </c>
      <c r="D27" s="90">
        <f t="shared" ref="D27:D31" si="2">C27*$B$8</f>
        <v>0.1413716694115407</v>
      </c>
      <c r="E27" s="90">
        <f t="shared" si="1"/>
        <v>0.33080970642300522</v>
      </c>
      <c r="F27" s="109">
        <f t="shared" ref="F27:F28" si="3">$B$26/E27</f>
        <v>0.83969053018832618</v>
      </c>
      <c r="G27" s="56">
        <f t="shared" ref="G27:G31" si="4">C27*0.8</f>
        <v>25.6</v>
      </c>
      <c r="H27" s="110">
        <f t="shared" ref="H27:H31" si="5">0.005*(1-K27^-1)/(1+0.00125*J27^2)</f>
        <v>4.865975201979727E-3</v>
      </c>
      <c r="I27" s="56"/>
      <c r="J27" s="90"/>
      <c r="K27" s="112">
        <f t="shared" ref="K27:K31" si="6">C27/SQRT($B$10*$B$7)</f>
        <v>37.306528895075679</v>
      </c>
    </row>
    <row r="28" spans="1:11" s="20" customFormat="1" x14ac:dyDescent="0.2">
      <c r="A28" s="105"/>
      <c r="B28" s="90"/>
      <c r="C28" s="106">
        <v>34</v>
      </c>
      <c r="D28" s="90">
        <f t="shared" si="2"/>
        <v>0.15020739874976199</v>
      </c>
      <c r="E28" s="90">
        <f t="shared" si="1"/>
        <v>0.35148531307444303</v>
      </c>
      <c r="F28" s="109">
        <f t="shared" si="3"/>
        <v>0.79029696958901297</v>
      </c>
      <c r="G28" s="56">
        <f t="shared" si="4"/>
        <v>27.200000000000003</v>
      </c>
      <c r="H28" s="110">
        <f t="shared" si="5"/>
        <v>4.8738590136279784E-3</v>
      </c>
      <c r="I28" s="56"/>
      <c r="J28" s="90"/>
      <c r="K28" s="112">
        <f t="shared" si="6"/>
        <v>39.638186951017907</v>
      </c>
    </row>
    <row r="29" spans="1:11" s="20" customFormat="1" x14ac:dyDescent="0.2">
      <c r="A29" s="105">
        <v>2</v>
      </c>
      <c r="B29" s="90">
        <f t="shared" ref="B29" si="7">A29*1000/3600</f>
        <v>0.55555555555555558</v>
      </c>
      <c r="C29" s="106">
        <v>30</v>
      </c>
      <c r="D29" s="90">
        <f t="shared" si="2"/>
        <v>0.1325359400733194</v>
      </c>
      <c r="E29" s="90">
        <f t="shared" si="1"/>
        <v>0.31013409977156736</v>
      </c>
      <c r="F29" s="109">
        <f>$B$29/E29</f>
        <v>1.791339797735096</v>
      </c>
      <c r="G29" s="56">
        <f t="shared" si="4"/>
        <v>24</v>
      </c>
      <c r="H29" s="110">
        <f t="shared" si="5"/>
        <v>4.8555953078882209E-3</v>
      </c>
      <c r="I29" s="111">
        <f>I26</f>
        <v>0.41851296704905067</v>
      </c>
      <c r="J29" s="90">
        <f>J26</f>
        <v>0.48791456556810203</v>
      </c>
      <c r="K29" s="112">
        <f>C29/SQRT($B$10*$B$7)</f>
        <v>34.974870839133452</v>
      </c>
    </row>
    <row r="30" spans="1:11" s="20" customFormat="1" x14ac:dyDescent="0.2">
      <c r="A30" s="105"/>
      <c r="B30" s="56"/>
      <c r="C30" s="106">
        <v>32</v>
      </c>
      <c r="D30" s="90">
        <f t="shared" si="2"/>
        <v>0.1413716694115407</v>
      </c>
      <c r="E30" s="90">
        <f t="shared" si="1"/>
        <v>0.33080970642300522</v>
      </c>
      <c r="F30" s="109">
        <f>$B$29/E30</f>
        <v>1.6793810603766524</v>
      </c>
      <c r="G30" s="56">
        <f t="shared" si="4"/>
        <v>25.6</v>
      </c>
      <c r="H30" s="110">
        <f t="shared" si="5"/>
        <v>4.865975201979727E-3</v>
      </c>
      <c r="I30" s="56"/>
      <c r="J30" s="90"/>
      <c r="K30" s="112">
        <f t="shared" si="6"/>
        <v>37.306528895075679</v>
      </c>
    </row>
    <row r="31" spans="1:11" s="20" customFormat="1" x14ac:dyDescent="0.2">
      <c r="A31" s="105"/>
      <c r="B31" s="56"/>
      <c r="C31" s="106">
        <v>34</v>
      </c>
      <c r="D31" s="90">
        <f t="shared" si="2"/>
        <v>0.15020739874976199</v>
      </c>
      <c r="E31" s="90">
        <f t="shared" si="1"/>
        <v>0.35148531307444303</v>
      </c>
      <c r="F31" s="109">
        <f>$B$29/E31</f>
        <v>1.5805939391780259</v>
      </c>
      <c r="G31" s="56">
        <f t="shared" si="4"/>
        <v>27.200000000000003</v>
      </c>
      <c r="H31" s="110">
        <f t="shared" si="5"/>
        <v>4.8738590136279784E-3</v>
      </c>
      <c r="I31" s="56"/>
      <c r="J31" s="90"/>
      <c r="K31" s="112">
        <f t="shared" si="6"/>
        <v>39.638186951017907</v>
      </c>
    </row>
    <row r="32" spans="1:11" s="20" customFormat="1" x14ac:dyDescent="0.2">
      <c r="A32" s="113"/>
      <c r="B32" s="58"/>
      <c r="C32" s="114"/>
      <c r="D32" s="58"/>
      <c r="E32" s="115"/>
      <c r="F32" s="114"/>
      <c r="G32" s="115" t="s">
        <v>77</v>
      </c>
      <c r="H32" s="115" t="s">
        <v>66</v>
      </c>
      <c r="I32" s="115"/>
      <c r="J32" s="58"/>
      <c r="K32" s="116"/>
    </row>
    <row r="33" spans="1:12" x14ac:dyDescent="0.2">
      <c r="A33" s="59" t="s">
        <v>75</v>
      </c>
      <c r="B33" s="60"/>
      <c r="C33" s="61"/>
      <c r="D33" s="62"/>
      <c r="E33" s="63"/>
      <c r="F33" s="62"/>
      <c r="G33" s="62"/>
      <c r="H33" s="62"/>
      <c r="I33" s="62"/>
      <c r="J33" s="62"/>
      <c r="K33" s="64"/>
    </row>
    <row r="34" spans="1:12" x14ac:dyDescent="0.2">
      <c r="A34" s="65"/>
      <c r="B34" s="66"/>
      <c r="C34" s="67"/>
      <c r="D34" s="68"/>
      <c r="E34" s="68"/>
      <c r="F34" s="69"/>
      <c r="G34" s="68" t="s">
        <v>58</v>
      </c>
      <c r="H34" s="68"/>
      <c r="I34" s="68"/>
      <c r="J34" s="68"/>
      <c r="K34" s="70"/>
      <c r="L34" s="20"/>
    </row>
    <row r="35" spans="1:12" x14ac:dyDescent="0.2">
      <c r="A35" s="65" t="s">
        <v>0</v>
      </c>
      <c r="B35" s="66" t="s">
        <v>11</v>
      </c>
      <c r="C35" s="67" t="s">
        <v>7</v>
      </c>
      <c r="D35" s="68" t="s">
        <v>10</v>
      </c>
      <c r="E35" s="68" t="s">
        <v>11</v>
      </c>
      <c r="F35" s="69"/>
      <c r="G35" s="68"/>
      <c r="H35" s="68"/>
      <c r="I35" s="68" t="s">
        <v>7</v>
      </c>
      <c r="J35" s="68"/>
      <c r="K35" s="70"/>
      <c r="L35" s="20"/>
    </row>
    <row r="36" spans="1:12" x14ac:dyDescent="0.2">
      <c r="A36" s="65"/>
      <c r="B36" s="66"/>
      <c r="C36" s="67"/>
      <c r="D36" s="68"/>
      <c r="E36" s="68"/>
      <c r="F36" s="69"/>
      <c r="G36" s="68"/>
      <c r="H36" s="68"/>
      <c r="I36" s="68"/>
      <c r="J36" s="68"/>
      <c r="K36" s="70"/>
      <c r="L36" s="20"/>
    </row>
    <row r="37" spans="1:12" x14ac:dyDescent="0.2">
      <c r="A37" s="65">
        <v>1</v>
      </c>
      <c r="B37" s="117">
        <f>A37*1000/3600</f>
        <v>0.27777777777777779</v>
      </c>
      <c r="C37" s="118">
        <v>12</v>
      </c>
      <c r="D37" s="119">
        <f>C37*$B$8</f>
        <v>5.3014376029327764E-2</v>
      </c>
      <c r="E37" s="119">
        <f t="shared" ref="E37:E46" si="8">D37*$B$13</f>
        <v>0.12405363990862696</v>
      </c>
      <c r="F37" s="118">
        <f>$B$26/E37</f>
        <v>2.2391747471688697</v>
      </c>
      <c r="G37" s="139">
        <f>C37*0.8</f>
        <v>9.6000000000000014</v>
      </c>
      <c r="H37" s="119">
        <f>0.005*(1-K37^-1)/(1+0.00125*J37^2)</f>
        <v>4.6407543872248377E-3</v>
      </c>
      <c r="I37" s="119">
        <f>E16</f>
        <v>0.48389317027542478</v>
      </c>
      <c r="J37" s="119">
        <f>I37/SQRT($B$10*$B$7)</f>
        <v>0.56413670434405971</v>
      </c>
      <c r="K37" s="120">
        <f>C37/SQRT($B$10*$B$7)</f>
        <v>13.989948335653381</v>
      </c>
    </row>
    <row r="38" spans="1:12" x14ac:dyDescent="0.2">
      <c r="A38" s="65"/>
      <c r="B38" s="117"/>
      <c r="C38" s="118">
        <v>14</v>
      </c>
      <c r="D38" s="119">
        <f t="shared" ref="D38:D46" si="9">C38*$B$8</f>
        <v>6.1850105367549056E-2</v>
      </c>
      <c r="E38" s="119">
        <f t="shared" si="8"/>
        <v>0.14472924656006478</v>
      </c>
      <c r="F38" s="118">
        <f t="shared" ref="F38:F46" si="10">$B$26/E38</f>
        <v>1.91929264043046</v>
      </c>
      <c r="G38" s="139">
        <f t="shared" ref="G38:G46" si="11">C38*0.8</f>
        <v>11.200000000000001</v>
      </c>
      <c r="H38" s="119"/>
      <c r="I38" s="119"/>
      <c r="J38" s="119"/>
      <c r="K38" s="120"/>
    </row>
    <row r="39" spans="1:12" x14ac:dyDescent="0.2">
      <c r="A39" s="65"/>
      <c r="B39" s="117"/>
      <c r="C39" s="118">
        <v>16</v>
      </c>
      <c r="D39" s="119">
        <f t="shared" si="9"/>
        <v>7.0685834705770348E-2</v>
      </c>
      <c r="E39" s="119">
        <f t="shared" si="8"/>
        <v>0.16540485321150261</v>
      </c>
      <c r="F39" s="118">
        <f t="shared" si="10"/>
        <v>1.6793810603766524</v>
      </c>
      <c r="G39" s="139">
        <f t="shared" si="11"/>
        <v>12.8</v>
      </c>
      <c r="H39" s="119"/>
      <c r="I39" s="119"/>
      <c r="J39" s="119"/>
      <c r="K39" s="120"/>
    </row>
    <row r="40" spans="1:12" x14ac:dyDescent="0.2">
      <c r="A40" s="65"/>
      <c r="B40" s="117"/>
      <c r="C40" s="118">
        <v>18</v>
      </c>
      <c r="D40" s="119">
        <f t="shared" si="9"/>
        <v>7.9521564043991647E-2</v>
      </c>
      <c r="E40" s="119">
        <f t="shared" si="8"/>
        <v>0.18608045986294044</v>
      </c>
      <c r="F40" s="118">
        <f t="shared" si="10"/>
        <v>1.4927831647792464</v>
      </c>
      <c r="G40" s="139">
        <f t="shared" si="11"/>
        <v>14.4</v>
      </c>
      <c r="H40" s="119"/>
      <c r="I40" s="119"/>
      <c r="J40" s="119"/>
      <c r="K40" s="120"/>
    </row>
    <row r="41" spans="1:12" x14ac:dyDescent="0.2">
      <c r="A41" s="65"/>
      <c r="B41" s="117"/>
      <c r="C41" s="118">
        <v>20</v>
      </c>
      <c r="D41" s="119">
        <f t="shared" si="9"/>
        <v>8.8357293382212931E-2</v>
      </c>
      <c r="E41" s="119">
        <f t="shared" si="8"/>
        <v>0.20675606651437825</v>
      </c>
      <c r="F41" s="118">
        <f t="shared" si="10"/>
        <v>1.3435048483013219</v>
      </c>
      <c r="G41" s="139">
        <f t="shared" si="11"/>
        <v>16</v>
      </c>
      <c r="H41" s="119"/>
      <c r="I41" s="119"/>
      <c r="J41" s="119"/>
      <c r="K41" s="120"/>
    </row>
    <row r="42" spans="1:12" x14ac:dyDescent="0.2">
      <c r="A42" s="65">
        <v>2</v>
      </c>
      <c r="B42" s="117">
        <f t="shared" ref="B42" si="12">A42*1000/3600</f>
        <v>0.55555555555555558</v>
      </c>
      <c r="C42" s="118">
        <v>12</v>
      </c>
      <c r="D42" s="119">
        <f t="shared" si="9"/>
        <v>5.3014376029327764E-2</v>
      </c>
      <c r="E42" s="119">
        <f t="shared" si="8"/>
        <v>0.12405363990862696</v>
      </c>
      <c r="F42" s="118">
        <f t="shared" si="10"/>
        <v>2.2391747471688697</v>
      </c>
      <c r="G42" s="139">
        <f t="shared" si="11"/>
        <v>9.6000000000000014</v>
      </c>
      <c r="H42" s="119"/>
      <c r="I42" s="119"/>
      <c r="J42" s="119"/>
      <c r="K42" s="120"/>
    </row>
    <row r="43" spans="1:12" x14ac:dyDescent="0.2">
      <c r="A43" s="65"/>
      <c r="B43" s="117"/>
      <c r="C43" s="118">
        <v>14</v>
      </c>
      <c r="D43" s="119">
        <f t="shared" si="9"/>
        <v>6.1850105367549056E-2</v>
      </c>
      <c r="E43" s="119">
        <f t="shared" si="8"/>
        <v>0.14472924656006478</v>
      </c>
      <c r="F43" s="118">
        <f t="shared" si="10"/>
        <v>1.91929264043046</v>
      </c>
      <c r="G43" s="139">
        <f t="shared" si="11"/>
        <v>11.200000000000001</v>
      </c>
      <c r="H43" s="119"/>
      <c r="I43" s="119"/>
      <c r="J43" s="119"/>
      <c r="K43" s="120"/>
    </row>
    <row r="44" spans="1:12" x14ac:dyDescent="0.2">
      <c r="A44" s="65"/>
      <c r="B44" s="117"/>
      <c r="C44" s="118">
        <v>16</v>
      </c>
      <c r="D44" s="119">
        <f t="shared" si="9"/>
        <v>7.0685834705770348E-2</v>
      </c>
      <c r="E44" s="119">
        <f t="shared" si="8"/>
        <v>0.16540485321150261</v>
      </c>
      <c r="F44" s="118">
        <f t="shared" si="10"/>
        <v>1.6793810603766524</v>
      </c>
      <c r="G44" s="139">
        <f t="shared" si="11"/>
        <v>12.8</v>
      </c>
      <c r="H44" s="119"/>
      <c r="I44" s="119"/>
      <c r="J44" s="119"/>
      <c r="K44" s="120"/>
    </row>
    <row r="45" spans="1:12" x14ac:dyDescent="0.2">
      <c r="A45" s="65"/>
      <c r="B45" s="117"/>
      <c r="C45" s="118">
        <v>18</v>
      </c>
      <c r="D45" s="119">
        <f t="shared" si="9"/>
        <v>7.9521564043991647E-2</v>
      </c>
      <c r="E45" s="119">
        <f t="shared" si="8"/>
        <v>0.18608045986294044</v>
      </c>
      <c r="F45" s="118">
        <f t="shared" si="10"/>
        <v>1.4927831647792464</v>
      </c>
      <c r="G45" s="139">
        <f t="shared" si="11"/>
        <v>14.4</v>
      </c>
      <c r="H45" s="119"/>
      <c r="I45" s="119"/>
      <c r="J45" s="119"/>
      <c r="K45" s="120"/>
    </row>
    <row r="46" spans="1:12" x14ac:dyDescent="0.2">
      <c r="A46" s="71"/>
      <c r="B46" s="121"/>
      <c r="C46" s="122">
        <v>20</v>
      </c>
      <c r="D46" s="123">
        <f t="shared" si="9"/>
        <v>8.8357293382212931E-2</v>
      </c>
      <c r="E46" s="123">
        <f t="shared" si="8"/>
        <v>0.20675606651437825</v>
      </c>
      <c r="F46" s="122">
        <f t="shared" si="10"/>
        <v>1.3435048483013219</v>
      </c>
      <c r="G46" s="140">
        <f t="shared" si="11"/>
        <v>16</v>
      </c>
      <c r="H46" s="123"/>
      <c r="I46" s="123"/>
      <c r="J46" s="123"/>
      <c r="K46" s="124"/>
    </row>
    <row r="47" spans="1:12" x14ac:dyDescent="0.2">
      <c r="A47" s="3" t="s">
        <v>76</v>
      </c>
      <c r="B47" s="125"/>
      <c r="C47" s="126"/>
      <c r="D47" s="127"/>
      <c r="E47" s="128"/>
      <c r="F47" s="127"/>
      <c r="G47" s="141"/>
      <c r="H47" s="127"/>
      <c r="I47" s="127"/>
      <c r="J47" s="127"/>
      <c r="K47" s="129"/>
    </row>
    <row r="48" spans="1:12" x14ac:dyDescent="0.2">
      <c r="A48" s="72"/>
      <c r="B48" s="130"/>
      <c r="C48" s="131"/>
      <c r="D48" s="132"/>
      <c r="E48" s="132"/>
      <c r="F48" s="133"/>
      <c r="G48" s="142" t="s">
        <v>58</v>
      </c>
      <c r="H48" s="132"/>
      <c r="I48" s="132"/>
      <c r="J48" s="132"/>
      <c r="K48" s="134"/>
    </row>
    <row r="49" spans="1:11" x14ac:dyDescent="0.2">
      <c r="A49" s="72" t="s">
        <v>0</v>
      </c>
      <c r="B49" s="130" t="s">
        <v>11</v>
      </c>
      <c r="C49" s="131" t="s">
        <v>7</v>
      </c>
      <c r="D49" s="132" t="s">
        <v>10</v>
      </c>
      <c r="E49" s="132" t="s">
        <v>11</v>
      </c>
      <c r="F49" s="133"/>
      <c r="G49" s="142"/>
      <c r="H49" s="132"/>
      <c r="I49" s="132" t="s">
        <v>7</v>
      </c>
      <c r="J49" s="132"/>
      <c r="K49" s="134"/>
    </row>
    <row r="50" spans="1:11" x14ac:dyDescent="0.2">
      <c r="A50" s="72"/>
      <c r="B50" s="130"/>
      <c r="C50" s="131"/>
      <c r="D50" s="132"/>
      <c r="E50" s="132"/>
      <c r="F50" s="133"/>
      <c r="G50" s="142"/>
      <c r="H50" s="132"/>
      <c r="I50" s="132"/>
      <c r="J50" s="132"/>
      <c r="K50" s="134"/>
    </row>
    <row r="51" spans="1:11" x14ac:dyDescent="0.2">
      <c r="A51" s="72">
        <v>1</v>
      </c>
      <c r="B51" s="130">
        <f>A51*1000/3600</f>
        <v>0.27777777777777779</v>
      </c>
      <c r="C51" s="131">
        <v>12</v>
      </c>
      <c r="D51" s="132">
        <f>C51*$B$8</f>
        <v>5.3014376029327764E-2</v>
      </c>
      <c r="E51" s="132">
        <f t="shared" ref="E51:E60" si="13">D51*$B$13</f>
        <v>0.12405363990862696</v>
      </c>
      <c r="F51" s="131">
        <f>$B$26/E51</f>
        <v>2.2391747471688697</v>
      </c>
      <c r="G51" s="142">
        <f>C51*0.8</f>
        <v>9.6000000000000014</v>
      </c>
      <c r="H51" s="132">
        <f>0.005*(1-K51^-1)/(1+0.00125*J51^2)</f>
        <v>4.6410502124125449E-3</v>
      </c>
      <c r="I51" s="132">
        <f>F16</f>
        <v>0.44341822441362283</v>
      </c>
      <c r="J51" s="132">
        <f>I51/SQRT($B$10*$B$7)</f>
        <v>0.51694983755281165</v>
      </c>
      <c r="K51" s="134">
        <f>C51/SQRT($B$10*$B$7)</f>
        <v>13.989948335653381</v>
      </c>
    </row>
    <row r="52" spans="1:11" x14ac:dyDescent="0.2">
      <c r="A52" s="72"/>
      <c r="B52" s="130"/>
      <c r="C52" s="131">
        <v>14</v>
      </c>
      <c r="D52" s="132">
        <f t="shared" ref="D52:D60" si="14">C52*$B$8</f>
        <v>6.1850105367549056E-2</v>
      </c>
      <c r="E52" s="132">
        <f t="shared" si="13"/>
        <v>0.14472924656006478</v>
      </c>
      <c r="F52" s="131">
        <f t="shared" ref="F52:F60" si="15">$B$26/E52</f>
        <v>1.91929264043046</v>
      </c>
      <c r="G52" s="142">
        <f t="shared" ref="G52:G60" si="16">C52*0.8</f>
        <v>11.200000000000001</v>
      </c>
      <c r="H52" s="132"/>
      <c r="I52" s="132"/>
      <c r="J52" s="132"/>
      <c r="K52" s="134"/>
    </row>
    <row r="53" spans="1:11" x14ac:dyDescent="0.2">
      <c r="A53" s="72"/>
      <c r="B53" s="130"/>
      <c r="C53" s="131">
        <v>16</v>
      </c>
      <c r="D53" s="132">
        <f t="shared" si="14"/>
        <v>7.0685834705770348E-2</v>
      </c>
      <c r="E53" s="132">
        <f t="shared" si="13"/>
        <v>0.16540485321150261</v>
      </c>
      <c r="F53" s="131">
        <f t="shared" si="15"/>
        <v>1.6793810603766524</v>
      </c>
      <c r="G53" s="142">
        <f t="shared" si="16"/>
        <v>12.8</v>
      </c>
      <c r="H53" s="132"/>
      <c r="I53" s="132"/>
      <c r="J53" s="132"/>
      <c r="K53" s="134"/>
    </row>
    <row r="54" spans="1:11" x14ac:dyDescent="0.2">
      <c r="A54" s="72"/>
      <c r="B54" s="130"/>
      <c r="C54" s="131">
        <v>18</v>
      </c>
      <c r="D54" s="132">
        <f t="shared" si="14"/>
        <v>7.9521564043991647E-2</v>
      </c>
      <c r="E54" s="132">
        <f t="shared" si="13"/>
        <v>0.18608045986294044</v>
      </c>
      <c r="F54" s="131">
        <f t="shared" si="15"/>
        <v>1.4927831647792464</v>
      </c>
      <c r="G54" s="142">
        <f t="shared" si="16"/>
        <v>14.4</v>
      </c>
      <c r="H54" s="132"/>
      <c r="I54" s="132"/>
      <c r="J54" s="132"/>
      <c r="K54" s="134"/>
    </row>
    <row r="55" spans="1:11" x14ac:dyDescent="0.2">
      <c r="A55" s="72"/>
      <c r="B55" s="130"/>
      <c r="C55" s="131">
        <v>20</v>
      </c>
      <c r="D55" s="132">
        <f t="shared" si="14"/>
        <v>8.8357293382212931E-2</v>
      </c>
      <c r="E55" s="132">
        <f t="shared" si="13"/>
        <v>0.20675606651437825</v>
      </c>
      <c r="F55" s="131">
        <f t="shared" si="15"/>
        <v>1.3435048483013219</v>
      </c>
      <c r="G55" s="142">
        <f t="shared" si="16"/>
        <v>16</v>
      </c>
      <c r="H55" s="132"/>
      <c r="I55" s="132"/>
      <c r="J55" s="132"/>
      <c r="K55" s="134"/>
    </row>
    <row r="56" spans="1:11" x14ac:dyDescent="0.2">
      <c r="A56" s="72">
        <v>2</v>
      </c>
      <c r="B56" s="130">
        <f t="shared" ref="B56" si="17">A56*1000/3600</f>
        <v>0.55555555555555558</v>
      </c>
      <c r="C56" s="131">
        <v>12</v>
      </c>
      <c r="D56" s="132">
        <f t="shared" si="14"/>
        <v>5.3014376029327764E-2</v>
      </c>
      <c r="E56" s="132">
        <f t="shared" si="13"/>
        <v>0.12405363990862696</v>
      </c>
      <c r="F56" s="131">
        <f t="shared" si="15"/>
        <v>2.2391747471688697</v>
      </c>
      <c r="G56" s="142">
        <f t="shared" si="16"/>
        <v>9.6000000000000014</v>
      </c>
      <c r="H56" s="132"/>
      <c r="I56" s="132"/>
      <c r="J56" s="132"/>
      <c r="K56" s="134"/>
    </row>
    <row r="57" spans="1:11" x14ac:dyDescent="0.2">
      <c r="A57" s="72"/>
      <c r="B57" s="130"/>
      <c r="C57" s="131">
        <v>14</v>
      </c>
      <c r="D57" s="132">
        <f t="shared" si="14"/>
        <v>6.1850105367549056E-2</v>
      </c>
      <c r="E57" s="132">
        <f t="shared" si="13"/>
        <v>0.14472924656006478</v>
      </c>
      <c r="F57" s="131">
        <f t="shared" si="15"/>
        <v>1.91929264043046</v>
      </c>
      <c r="G57" s="142">
        <f t="shared" si="16"/>
        <v>11.200000000000001</v>
      </c>
      <c r="H57" s="132"/>
      <c r="I57" s="132"/>
      <c r="J57" s="132"/>
      <c r="K57" s="134"/>
    </row>
    <row r="58" spans="1:11" x14ac:dyDescent="0.2">
      <c r="A58" s="72"/>
      <c r="B58" s="130"/>
      <c r="C58" s="131">
        <v>16</v>
      </c>
      <c r="D58" s="132">
        <f t="shared" si="14"/>
        <v>7.0685834705770348E-2</v>
      </c>
      <c r="E58" s="132">
        <f t="shared" si="13"/>
        <v>0.16540485321150261</v>
      </c>
      <c r="F58" s="131">
        <f t="shared" si="15"/>
        <v>1.6793810603766524</v>
      </c>
      <c r="G58" s="142">
        <f t="shared" si="16"/>
        <v>12.8</v>
      </c>
      <c r="H58" s="132"/>
      <c r="I58" s="132"/>
      <c r="J58" s="132"/>
      <c r="K58" s="134"/>
    </row>
    <row r="59" spans="1:11" x14ac:dyDescent="0.2">
      <c r="A59" s="72"/>
      <c r="B59" s="130"/>
      <c r="C59" s="131">
        <v>18</v>
      </c>
      <c r="D59" s="132">
        <f t="shared" si="14"/>
        <v>7.9521564043991647E-2</v>
      </c>
      <c r="E59" s="132">
        <f t="shared" si="13"/>
        <v>0.18608045986294044</v>
      </c>
      <c r="F59" s="131">
        <f t="shared" si="15"/>
        <v>1.4927831647792464</v>
      </c>
      <c r="G59" s="142">
        <f t="shared" si="16"/>
        <v>14.4</v>
      </c>
      <c r="H59" s="132"/>
      <c r="I59" s="132"/>
      <c r="J59" s="132"/>
      <c r="K59" s="134"/>
    </row>
    <row r="60" spans="1:11" x14ac:dyDescent="0.2">
      <c r="A60" s="73"/>
      <c r="B60" s="135"/>
      <c r="C60" s="136">
        <v>20</v>
      </c>
      <c r="D60" s="137">
        <f t="shared" si="14"/>
        <v>8.8357293382212931E-2</v>
      </c>
      <c r="E60" s="137">
        <f t="shared" si="13"/>
        <v>0.20675606651437825</v>
      </c>
      <c r="F60" s="136">
        <f t="shared" si="15"/>
        <v>1.3435048483013219</v>
      </c>
      <c r="G60" s="143">
        <f t="shared" si="16"/>
        <v>16</v>
      </c>
      <c r="H60" s="137"/>
      <c r="I60" s="137"/>
      <c r="J60" s="137"/>
      <c r="K60" s="138"/>
    </row>
    <row r="61" spans="1:11" x14ac:dyDescent="0.2">
      <c r="F61" s="4"/>
      <c r="H61" s="1"/>
      <c r="I61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9E6E2-5384-B843-B707-E456A6AA0110}">
  <dimension ref="A1:G71"/>
  <sheetViews>
    <sheetView zoomScaleNormal="118" workbookViewId="0">
      <selection activeCell="J22" sqref="J22"/>
    </sheetView>
  </sheetViews>
  <sheetFormatPr baseColWidth="10" defaultRowHeight="16" x14ac:dyDescent="0.2"/>
  <cols>
    <col min="1" max="1" width="12.6640625" customWidth="1"/>
    <col min="2" max="2" width="17.33203125" customWidth="1"/>
    <col min="3" max="3" width="20.83203125" customWidth="1"/>
    <col min="6" max="6" width="12.83203125" customWidth="1"/>
    <col min="7" max="7" width="14.83203125" customWidth="1"/>
  </cols>
  <sheetData>
    <row r="1" spans="1:7" x14ac:dyDescent="0.2">
      <c r="A1" s="2" t="s">
        <v>57</v>
      </c>
    </row>
    <row r="2" spans="1:7" s="5" customFormat="1" ht="51" x14ac:dyDescent="0.2">
      <c r="A2" s="6" t="s">
        <v>24</v>
      </c>
      <c r="B2" s="6" t="s">
        <v>25</v>
      </c>
      <c r="C2" s="6" t="s">
        <v>26</v>
      </c>
      <c r="D2" s="6" t="s">
        <v>84</v>
      </c>
      <c r="E2" s="6" t="s">
        <v>85</v>
      </c>
      <c r="F2" s="6" t="s">
        <v>86</v>
      </c>
      <c r="G2" s="6" t="s">
        <v>87</v>
      </c>
    </row>
    <row r="3" spans="1:7" x14ac:dyDescent="0.2">
      <c r="A3" s="7">
        <v>1</v>
      </c>
      <c r="B3" s="7" t="s">
        <v>31</v>
      </c>
      <c r="C3" s="7" t="s">
        <v>32</v>
      </c>
      <c r="D3" s="7">
        <v>6</v>
      </c>
      <c r="E3" s="7">
        <f>'Conveying system input data'!B7</f>
        <v>7.4999999999999997E-2</v>
      </c>
      <c r="F3" s="7">
        <f>D3</f>
        <v>6</v>
      </c>
      <c r="G3" s="7">
        <f>F3</f>
        <v>6</v>
      </c>
    </row>
    <row r="4" spans="1:7" x14ac:dyDescent="0.2">
      <c r="A4" s="7">
        <v>2</v>
      </c>
      <c r="B4" s="7" t="s">
        <v>33</v>
      </c>
      <c r="C4" s="7" t="s">
        <v>53</v>
      </c>
      <c r="D4" s="7"/>
      <c r="E4" s="7">
        <f>E3</f>
        <v>7.4999999999999997E-2</v>
      </c>
      <c r="F4" s="7">
        <f>6.096*2</f>
        <v>12.192</v>
      </c>
      <c r="G4" s="7">
        <f>G3+F4</f>
        <v>18.192</v>
      </c>
    </row>
    <row r="5" spans="1:7" x14ac:dyDescent="0.2">
      <c r="A5" s="7">
        <v>3</v>
      </c>
      <c r="B5" s="7" t="s">
        <v>31</v>
      </c>
      <c r="C5" s="7" t="s">
        <v>32</v>
      </c>
      <c r="D5" s="7">
        <v>21</v>
      </c>
      <c r="E5" s="7">
        <f t="shared" ref="E5:E6" si="0">E4</f>
        <v>7.4999999999999997E-2</v>
      </c>
      <c r="F5" s="7">
        <f t="shared" ref="F5" si="1">D5</f>
        <v>21</v>
      </c>
      <c r="G5" s="7">
        <f t="shared" ref="G5:G17" si="2">G4+F5</f>
        <v>39.192</v>
      </c>
    </row>
    <row r="6" spans="1:7" x14ac:dyDescent="0.2">
      <c r="A6" s="7">
        <f>A5+1</f>
        <v>4</v>
      </c>
      <c r="B6" s="7" t="s">
        <v>33</v>
      </c>
      <c r="C6" s="7" t="s">
        <v>53</v>
      </c>
      <c r="D6" s="7"/>
      <c r="E6" s="7">
        <f t="shared" si="0"/>
        <v>7.4999999999999997E-2</v>
      </c>
      <c r="F6" s="7">
        <f>6.096*2</f>
        <v>12.192</v>
      </c>
      <c r="G6" s="7">
        <f t="shared" si="2"/>
        <v>51.384</v>
      </c>
    </row>
    <row r="7" spans="1:7" x14ac:dyDescent="0.2">
      <c r="A7" s="7">
        <f t="shared" ref="A7:A17" si="3">A6+1</f>
        <v>5</v>
      </c>
      <c r="B7" s="7" t="s">
        <v>31</v>
      </c>
      <c r="C7" s="7" t="s">
        <v>32</v>
      </c>
      <c r="D7" s="7">
        <v>13</v>
      </c>
      <c r="E7" s="7">
        <f t="shared" ref="E7" si="4">E6</f>
        <v>7.4999999999999997E-2</v>
      </c>
      <c r="F7" s="7">
        <f t="shared" ref="F7" si="5">D7</f>
        <v>13</v>
      </c>
      <c r="G7" s="7">
        <f t="shared" si="2"/>
        <v>64.384</v>
      </c>
    </row>
    <row r="8" spans="1:7" x14ac:dyDescent="0.2">
      <c r="A8" s="7">
        <f t="shared" si="3"/>
        <v>6</v>
      </c>
      <c r="B8" s="7" t="s">
        <v>33</v>
      </c>
      <c r="C8" s="7" t="s">
        <v>54</v>
      </c>
      <c r="D8" s="7"/>
      <c r="E8" s="7">
        <f>E6</f>
        <v>7.4999999999999997E-2</v>
      </c>
      <c r="F8" s="7">
        <f>6.096*2</f>
        <v>12.192</v>
      </c>
      <c r="G8" s="7">
        <f t="shared" si="2"/>
        <v>76.575999999999993</v>
      </c>
    </row>
    <row r="9" spans="1:7" x14ac:dyDescent="0.2">
      <c r="A9" s="7">
        <f t="shared" si="3"/>
        <v>7</v>
      </c>
      <c r="B9" s="7" t="s">
        <v>31</v>
      </c>
      <c r="C9" s="9" t="s">
        <v>55</v>
      </c>
      <c r="D9" s="7">
        <f>8.25</f>
        <v>8.25</v>
      </c>
      <c r="E9" s="7">
        <f t="shared" ref="E9:E17" si="6">E7</f>
        <v>7.4999999999999997E-2</v>
      </c>
      <c r="F9" s="7">
        <f>D9</f>
        <v>8.25</v>
      </c>
      <c r="G9" s="7">
        <f t="shared" si="2"/>
        <v>84.825999999999993</v>
      </c>
    </row>
    <row r="10" spans="1:7" x14ac:dyDescent="0.2">
      <c r="A10" s="7">
        <f t="shared" si="3"/>
        <v>8</v>
      </c>
      <c r="B10" s="7" t="s">
        <v>33</v>
      </c>
      <c r="C10" s="7" t="s">
        <v>34</v>
      </c>
      <c r="D10" s="7"/>
      <c r="E10" s="7">
        <f t="shared" si="6"/>
        <v>7.4999999999999997E-2</v>
      </c>
      <c r="F10" s="7">
        <f>F8</f>
        <v>12.192</v>
      </c>
      <c r="G10" s="7">
        <f t="shared" si="2"/>
        <v>97.018000000000001</v>
      </c>
    </row>
    <row r="11" spans="1:7" x14ac:dyDescent="0.2">
      <c r="A11" s="7">
        <f t="shared" si="3"/>
        <v>9</v>
      </c>
      <c r="B11" s="7" t="s">
        <v>31</v>
      </c>
      <c r="C11" s="7" t="s">
        <v>32</v>
      </c>
      <c r="D11" s="7">
        <v>11</v>
      </c>
      <c r="E11" s="7">
        <f t="shared" si="6"/>
        <v>7.4999999999999997E-2</v>
      </c>
      <c r="F11" s="7">
        <f>D11</f>
        <v>11</v>
      </c>
      <c r="G11" s="7">
        <f t="shared" si="2"/>
        <v>108.018</v>
      </c>
    </row>
    <row r="12" spans="1:7" x14ac:dyDescent="0.2">
      <c r="A12" s="7">
        <f t="shared" si="3"/>
        <v>10</v>
      </c>
      <c r="B12" s="7" t="s">
        <v>33</v>
      </c>
      <c r="C12" s="7" t="s">
        <v>54</v>
      </c>
      <c r="D12" s="7"/>
      <c r="E12" s="7">
        <f t="shared" si="6"/>
        <v>7.4999999999999997E-2</v>
      </c>
      <c r="F12" s="7">
        <f>F10</f>
        <v>12.192</v>
      </c>
      <c r="G12" s="7">
        <f t="shared" si="2"/>
        <v>120.21000000000001</v>
      </c>
    </row>
    <row r="13" spans="1:7" x14ac:dyDescent="0.2">
      <c r="A13" s="7">
        <f t="shared" si="3"/>
        <v>11</v>
      </c>
      <c r="B13" s="8" t="s">
        <v>31</v>
      </c>
      <c r="C13" s="9" t="s">
        <v>55</v>
      </c>
      <c r="D13" s="7">
        <f>8.25-5.5</f>
        <v>2.75</v>
      </c>
      <c r="E13" s="7">
        <f t="shared" si="6"/>
        <v>7.4999999999999997E-2</v>
      </c>
      <c r="F13" s="7">
        <f>D13</f>
        <v>2.75</v>
      </c>
      <c r="G13" s="7">
        <f t="shared" si="2"/>
        <v>122.96000000000001</v>
      </c>
    </row>
    <row r="14" spans="1:7" x14ac:dyDescent="0.2">
      <c r="A14" s="7">
        <f t="shared" si="3"/>
        <v>12</v>
      </c>
      <c r="B14" s="7" t="s">
        <v>33</v>
      </c>
      <c r="C14" s="7" t="s">
        <v>34</v>
      </c>
      <c r="D14" s="7"/>
      <c r="E14" s="7">
        <f t="shared" si="6"/>
        <v>7.4999999999999997E-2</v>
      </c>
      <c r="F14" s="7">
        <f>F12</f>
        <v>12.192</v>
      </c>
      <c r="G14" s="7">
        <f t="shared" si="2"/>
        <v>135.15200000000002</v>
      </c>
    </row>
    <row r="15" spans="1:7" x14ac:dyDescent="0.2">
      <c r="A15" s="7">
        <f t="shared" si="3"/>
        <v>13</v>
      </c>
      <c r="B15" s="8" t="s">
        <v>31</v>
      </c>
      <c r="C15" s="7" t="s">
        <v>32</v>
      </c>
      <c r="D15" s="7">
        <f>10</f>
        <v>10</v>
      </c>
      <c r="E15" s="7">
        <f t="shared" si="6"/>
        <v>7.4999999999999997E-2</v>
      </c>
      <c r="F15" s="7">
        <f>D15</f>
        <v>10</v>
      </c>
      <c r="G15" s="7">
        <f t="shared" si="2"/>
        <v>145.15200000000002</v>
      </c>
    </row>
    <row r="16" spans="1:7" x14ac:dyDescent="0.2">
      <c r="A16" s="7">
        <f t="shared" si="3"/>
        <v>14</v>
      </c>
      <c r="B16" s="7" t="s">
        <v>33</v>
      </c>
      <c r="C16" s="7" t="s">
        <v>53</v>
      </c>
      <c r="D16" s="7"/>
      <c r="E16" s="7">
        <f t="shared" si="6"/>
        <v>7.4999999999999997E-2</v>
      </c>
      <c r="F16" s="7">
        <f>F14</f>
        <v>12.192</v>
      </c>
      <c r="G16" s="7">
        <f t="shared" si="2"/>
        <v>157.34400000000002</v>
      </c>
    </row>
    <row r="17" spans="1:7" x14ac:dyDescent="0.2">
      <c r="A17" s="7">
        <f t="shared" si="3"/>
        <v>15</v>
      </c>
      <c r="B17" s="8" t="s">
        <v>31</v>
      </c>
      <c r="C17" s="7" t="s">
        <v>32</v>
      </c>
      <c r="D17" s="7">
        <f>7</f>
        <v>7</v>
      </c>
      <c r="E17" s="7">
        <f t="shared" si="6"/>
        <v>7.4999999999999997E-2</v>
      </c>
      <c r="F17" s="7">
        <f>D17</f>
        <v>7</v>
      </c>
      <c r="G17" s="7">
        <f t="shared" si="2"/>
        <v>164.34400000000002</v>
      </c>
    </row>
    <row r="18" spans="1:7" x14ac:dyDescent="0.2">
      <c r="A18" s="7"/>
      <c r="B18" s="7" t="s">
        <v>56</v>
      </c>
      <c r="C18" s="7"/>
      <c r="D18" s="7">
        <f>SUM(D3:D17)</f>
        <v>79</v>
      </c>
      <c r="E18" s="7"/>
      <c r="F18" s="7"/>
      <c r="G18" s="7"/>
    </row>
    <row r="20" spans="1:7" ht="51" x14ac:dyDescent="0.2">
      <c r="A20" s="6" t="s">
        <v>24</v>
      </c>
      <c r="B20" s="6" t="s">
        <v>25</v>
      </c>
      <c r="C20" s="6" t="s">
        <v>26</v>
      </c>
      <c r="D20" s="6" t="s">
        <v>28</v>
      </c>
      <c r="E20" s="6" t="s">
        <v>29</v>
      </c>
      <c r="F20" s="6" t="s">
        <v>27</v>
      </c>
      <c r="G20" s="6" t="s">
        <v>30</v>
      </c>
    </row>
    <row r="21" spans="1:7" x14ac:dyDescent="0.2">
      <c r="A21" s="7">
        <v>1</v>
      </c>
      <c r="B21" s="7" t="s">
        <v>31</v>
      </c>
      <c r="C21" s="7" t="s">
        <v>32</v>
      </c>
      <c r="D21" s="7">
        <v>2</v>
      </c>
      <c r="E21" s="7">
        <f>E3</f>
        <v>7.4999999999999997E-2</v>
      </c>
      <c r="F21" s="7">
        <f>D21</f>
        <v>2</v>
      </c>
      <c r="G21" s="7"/>
    </row>
    <row r="22" spans="1:7" x14ac:dyDescent="0.2">
      <c r="A22" s="7"/>
      <c r="B22" s="7"/>
      <c r="C22" s="7"/>
      <c r="D22" s="7">
        <v>2</v>
      </c>
      <c r="E22" s="7"/>
      <c r="F22" s="7">
        <f t="shared" ref="F22:F23" si="7">D22</f>
        <v>2</v>
      </c>
      <c r="G22" s="7"/>
    </row>
    <row r="23" spans="1:7" x14ac:dyDescent="0.2">
      <c r="A23" s="7"/>
      <c r="B23" s="7"/>
      <c r="C23" s="7"/>
      <c r="D23" s="7">
        <v>2</v>
      </c>
      <c r="E23" s="7"/>
      <c r="F23" s="7">
        <f t="shared" si="7"/>
        <v>2</v>
      </c>
      <c r="G23" s="7">
        <v>6</v>
      </c>
    </row>
    <row r="24" spans="1:7" x14ac:dyDescent="0.2">
      <c r="A24" s="7">
        <v>2</v>
      </c>
      <c r="B24" s="7" t="s">
        <v>33</v>
      </c>
      <c r="C24" s="7" t="s">
        <v>53</v>
      </c>
      <c r="D24" s="7"/>
      <c r="E24" s="7">
        <f t="shared" ref="E24:E25" si="8">E6</f>
        <v>7.4999999999999997E-2</v>
      </c>
      <c r="F24" s="7">
        <f>6.096*2</f>
        <v>12.192</v>
      </c>
      <c r="G24" s="7">
        <f>G23+F24</f>
        <v>18.192</v>
      </c>
    </row>
    <row r="25" spans="1:7" x14ac:dyDescent="0.2">
      <c r="A25" s="7">
        <v>3</v>
      </c>
      <c r="B25" s="7" t="s">
        <v>31</v>
      </c>
      <c r="C25" s="7" t="s">
        <v>32</v>
      </c>
      <c r="D25" s="7">
        <v>2</v>
      </c>
      <c r="E25" s="7">
        <f t="shared" si="8"/>
        <v>7.4999999999999997E-2</v>
      </c>
      <c r="F25" s="7">
        <f t="shared" ref="F25:F35" si="9">D25</f>
        <v>2</v>
      </c>
      <c r="G25" s="7"/>
    </row>
    <row r="26" spans="1:7" x14ac:dyDescent="0.2">
      <c r="A26" s="7"/>
      <c r="B26" s="7"/>
      <c r="C26" s="7"/>
      <c r="D26" s="7">
        <v>2</v>
      </c>
      <c r="E26" s="7"/>
      <c r="F26" s="7">
        <f t="shared" si="9"/>
        <v>2</v>
      </c>
      <c r="G26" s="7"/>
    </row>
    <row r="27" spans="1:7" x14ac:dyDescent="0.2">
      <c r="A27" s="7"/>
      <c r="B27" s="7"/>
      <c r="C27" s="7"/>
      <c r="D27" s="7">
        <v>2</v>
      </c>
      <c r="E27" s="7"/>
      <c r="F27" s="7">
        <f t="shared" si="9"/>
        <v>2</v>
      </c>
      <c r="G27" s="7"/>
    </row>
    <row r="28" spans="1:7" x14ac:dyDescent="0.2">
      <c r="A28" s="7"/>
      <c r="B28" s="7"/>
      <c r="C28" s="7"/>
      <c r="D28" s="7">
        <v>2</v>
      </c>
      <c r="E28" s="7"/>
      <c r="F28" s="7">
        <f t="shared" si="9"/>
        <v>2</v>
      </c>
      <c r="G28" s="7"/>
    </row>
    <row r="29" spans="1:7" x14ac:dyDescent="0.2">
      <c r="A29" s="7"/>
      <c r="B29" s="7"/>
      <c r="C29" s="7"/>
      <c r="D29" s="7">
        <v>2</v>
      </c>
      <c r="E29" s="7"/>
      <c r="F29" s="7">
        <f t="shared" si="9"/>
        <v>2</v>
      </c>
      <c r="G29" s="7"/>
    </row>
    <row r="30" spans="1:7" x14ac:dyDescent="0.2">
      <c r="A30" s="7"/>
      <c r="B30" s="7"/>
      <c r="C30" s="7"/>
      <c r="D30" s="7">
        <v>2</v>
      </c>
      <c r="E30" s="7"/>
      <c r="F30" s="7">
        <f t="shared" si="9"/>
        <v>2</v>
      </c>
      <c r="G30" s="7"/>
    </row>
    <row r="31" spans="1:7" x14ac:dyDescent="0.2">
      <c r="A31" s="7"/>
      <c r="B31" s="7"/>
      <c r="C31" s="7"/>
      <c r="D31" s="7">
        <v>2</v>
      </c>
      <c r="E31" s="7"/>
      <c r="F31" s="7">
        <f t="shared" si="9"/>
        <v>2</v>
      </c>
      <c r="G31" s="7"/>
    </row>
    <row r="32" spans="1:7" x14ac:dyDescent="0.2">
      <c r="A32" s="7"/>
      <c r="B32" s="7"/>
      <c r="C32" s="7"/>
      <c r="D32" s="7">
        <v>2</v>
      </c>
      <c r="E32" s="7"/>
      <c r="F32" s="7">
        <f t="shared" si="9"/>
        <v>2</v>
      </c>
      <c r="G32" s="7"/>
    </row>
    <row r="33" spans="1:7" x14ac:dyDescent="0.2">
      <c r="A33" s="7"/>
      <c r="B33" s="7"/>
      <c r="C33" s="7"/>
      <c r="D33" s="7">
        <v>2</v>
      </c>
      <c r="E33" s="7"/>
      <c r="F33" s="7">
        <f t="shared" si="9"/>
        <v>2</v>
      </c>
      <c r="G33" s="7"/>
    </row>
    <row r="34" spans="1:7" x14ac:dyDescent="0.2">
      <c r="A34" s="7"/>
      <c r="B34" s="7"/>
      <c r="C34" s="7"/>
      <c r="D34" s="7">
        <v>2</v>
      </c>
      <c r="E34" s="7"/>
      <c r="F34" s="7">
        <f t="shared" si="9"/>
        <v>2</v>
      </c>
      <c r="G34" s="7"/>
    </row>
    <row r="35" spans="1:7" x14ac:dyDescent="0.2">
      <c r="A35" s="7"/>
      <c r="B35" s="7"/>
      <c r="C35" s="7"/>
      <c r="D35" s="7">
        <v>1</v>
      </c>
      <c r="E35" s="7"/>
      <c r="F35" s="7">
        <f t="shared" si="9"/>
        <v>1</v>
      </c>
      <c r="G35" s="7">
        <f>G24+SUM(F25:F35)</f>
        <v>39.192</v>
      </c>
    </row>
    <row r="36" spans="1:7" x14ac:dyDescent="0.2">
      <c r="A36" s="7">
        <f>A25+1</f>
        <v>4</v>
      </c>
      <c r="B36" s="7" t="s">
        <v>33</v>
      </c>
      <c r="C36" s="7" t="s">
        <v>53</v>
      </c>
      <c r="D36" s="7"/>
      <c r="E36" s="31">
        <v>7.4999999999999997E-2</v>
      </c>
      <c r="F36" s="7">
        <f>6.096*2</f>
        <v>12.192</v>
      </c>
      <c r="G36" s="7">
        <f>G35+F36</f>
        <v>51.384</v>
      </c>
    </row>
    <row r="37" spans="1:7" x14ac:dyDescent="0.2">
      <c r="A37" s="7">
        <f t="shared" ref="A37:A67" si="10">A36+1</f>
        <v>5</v>
      </c>
      <c r="B37" s="7" t="s">
        <v>31</v>
      </c>
      <c r="C37" s="7" t="s">
        <v>32</v>
      </c>
      <c r="D37" s="7">
        <v>2</v>
      </c>
      <c r="E37" s="31">
        <v>7.4999999999999997E-2</v>
      </c>
      <c r="F37" s="7">
        <f t="shared" ref="F37:F43" si="11">D37</f>
        <v>2</v>
      </c>
      <c r="G37" s="7"/>
    </row>
    <row r="38" spans="1:7" x14ac:dyDescent="0.2">
      <c r="A38" s="7"/>
      <c r="B38" s="7"/>
      <c r="C38" s="7"/>
      <c r="D38" s="7">
        <v>2</v>
      </c>
      <c r="E38" s="7"/>
      <c r="F38" s="7">
        <f t="shared" si="11"/>
        <v>2</v>
      </c>
      <c r="G38" s="7"/>
    </row>
    <row r="39" spans="1:7" x14ac:dyDescent="0.2">
      <c r="A39" s="7"/>
      <c r="B39" s="7"/>
      <c r="C39" s="7"/>
      <c r="D39" s="7">
        <v>2</v>
      </c>
      <c r="E39" s="7"/>
      <c r="F39" s="7">
        <f t="shared" si="11"/>
        <v>2</v>
      </c>
      <c r="G39" s="7"/>
    </row>
    <row r="40" spans="1:7" x14ac:dyDescent="0.2">
      <c r="A40" s="7"/>
      <c r="B40" s="7"/>
      <c r="C40" s="7"/>
      <c r="D40" s="7">
        <v>2</v>
      </c>
      <c r="E40" s="7"/>
      <c r="F40" s="7">
        <f t="shared" si="11"/>
        <v>2</v>
      </c>
      <c r="G40" s="7"/>
    </row>
    <row r="41" spans="1:7" x14ac:dyDescent="0.2">
      <c r="A41" s="7"/>
      <c r="B41" s="7"/>
      <c r="C41" s="7"/>
      <c r="D41" s="7">
        <v>2</v>
      </c>
      <c r="E41" s="7"/>
      <c r="F41" s="7">
        <f t="shared" si="11"/>
        <v>2</v>
      </c>
      <c r="G41" s="7"/>
    </row>
    <row r="42" spans="1:7" x14ac:dyDescent="0.2">
      <c r="A42" s="7"/>
      <c r="B42" s="7"/>
      <c r="C42" s="7"/>
      <c r="D42" s="7">
        <v>2</v>
      </c>
      <c r="E42" s="7"/>
      <c r="F42" s="7">
        <f t="shared" si="11"/>
        <v>2</v>
      </c>
      <c r="G42" s="7"/>
    </row>
    <row r="43" spans="1:7" x14ac:dyDescent="0.2">
      <c r="A43" s="7"/>
      <c r="B43" s="7"/>
      <c r="C43" s="7"/>
      <c r="D43" s="7">
        <v>1</v>
      </c>
      <c r="E43" s="7"/>
      <c r="F43" s="7">
        <f t="shared" si="11"/>
        <v>1</v>
      </c>
      <c r="G43" s="7">
        <f>G36+SUM(F37:F43)</f>
        <v>64.384</v>
      </c>
    </row>
    <row r="44" spans="1:7" x14ac:dyDescent="0.2">
      <c r="A44" s="7">
        <f>A37+1</f>
        <v>6</v>
      </c>
      <c r="B44" s="7" t="s">
        <v>33</v>
      </c>
      <c r="C44" s="7" t="s">
        <v>54</v>
      </c>
      <c r="D44" s="7"/>
      <c r="E44" s="31">
        <v>7.4999999999999997E-2</v>
      </c>
      <c r="F44" s="7">
        <f>6.096*2</f>
        <v>12.192</v>
      </c>
      <c r="G44" s="7">
        <f>G43+F44</f>
        <v>76.575999999999993</v>
      </c>
    </row>
    <row r="45" spans="1:7" x14ac:dyDescent="0.2">
      <c r="A45" s="7">
        <f>A44+1</f>
        <v>7</v>
      </c>
      <c r="B45" s="7" t="s">
        <v>31</v>
      </c>
      <c r="C45" s="9" t="s">
        <v>55</v>
      </c>
      <c r="D45" s="7">
        <v>2</v>
      </c>
      <c r="E45" s="31">
        <v>7.4999999999999997E-2</v>
      </c>
      <c r="F45" s="7">
        <f>D45</f>
        <v>2</v>
      </c>
      <c r="G45" s="7"/>
    </row>
    <row r="46" spans="1:7" x14ac:dyDescent="0.2">
      <c r="A46" s="7"/>
      <c r="B46" s="7"/>
      <c r="C46" s="9"/>
      <c r="D46" s="7">
        <v>2</v>
      </c>
      <c r="E46" s="7"/>
      <c r="F46" s="7">
        <f>D46</f>
        <v>2</v>
      </c>
      <c r="G46" s="7"/>
    </row>
    <row r="47" spans="1:7" x14ac:dyDescent="0.2">
      <c r="A47" s="7"/>
      <c r="B47" s="7"/>
      <c r="C47" s="9"/>
      <c r="D47" s="7">
        <v>2</v>
      </c>
      <c r="E47" s="7"/>
      <c r="F47" s="7">
        <f>D47</f>
        <v>2</v>
      </c>
      <c r="G47" s="7"/>
    </row>
    <row r="48" spans="1:7" x14ac:dyDescent="0.2">
      <c r="A48" s="7"/>
      <c r="B48" s="7"/>
      <c r="C48" s="9"/>
      <c r="D48" s="7">
        <v>2</v>
      </c>
      <c r="E48" s="7"/>
      <c r="F48" s="7">
        <f>D48</f>
        <v>2</v>
      </c>
      <c r="G48" s="7"/>
    </row>
    <row r="49" spans="1:7" x14ac:dyDescent="0.2">
      <c r="A49" s="7"/>
      <c r="B49" s="7"/>
      <c r="C49" s="9"/>
      <c r="D49" s="7">
        <v>0.25</v>
      </c>
      <c r="E49" s="7"/>
      <c r="F49" s="7">
        <f>D49</f>
        <v>0.25</v>
      </c>
      <c r="G49" s="7">
        <f>G44+SUM(F45:F49)</f>
        <v>84.825999999999993</v>
      </c>
    </row>
    <row r="50" spans="1:7" x14ac:dyDescent="0.2">
      <c r="A50" s="7">
        <f>A45+1</f>
        <v>8</v>
      </c>
      <c r="B50" s="7" t="s">
        <v>33</v>
      </c>
      <c r="C50" s="7" t="s">
        <v>34</v>
      </c>
      <c r="D50" s="7"/>
      <c r="E50" s="31">
        <v>7.4999999999999997E-2</v>
      </c>
      <c r="F50" s="7">
        <f>F44</f>
        <v>12.192</v>
      </c>
      <c r="G50" s="7">
        <f>G49+F50</f>
        <v>97.018000000000001</v>
      </c>
    </row>
    <row r="51" spans="1:7" x14ac:dyDescent="0.2">
      <c r="A51" s="7">
        <f t="shared" si="10"/>
        <v>9</v>
      </c>
      <c r="B51" s="7" t="s">
        <v>31</v>
      </c>
      <c r="C51" s="7" t="s">
        <v>32</v>
      </c>
      <c r="D51" s="7">
        <v>2</v>
      </c>
      <c r="E51" s="31">
        <v>7.4999999999999997E-2</v>
      </c>
      <c r="F51" s="7">
        <f t="shared" ref="F51:F56" si="12">D51</f>
        <v>2</v>
      </c>
      <c r="G51" s="7"/>
    </row>
    <row r="52" spans="1:7" x14ac:dyDescent="0.2">
      <c r="A52" s="7"/>
      <c r="B52" s="7"/>
      <c r="C52" s="7"/>
      <c r="D52" s="7">
        <v>2</v>
      </c>
      <c r="E52" s="7"/>
      <c r="F52" s="7">
        <f t="shared" si="12"/>
        <v>2</v>
      </c>
      <c r="G52" s="7"/>
    </row>
    <row r="53" spans="1:7" x14ac:dyDescent="0.2">
      <c r="A53" s="7"/>
      <c r="B53" s="7"/>
      <c r="C53" s="7"/>
      <c r="D53" s="7">
        <v>2</v>
      </c>
      <c r="E53" s="7"/>
      <c r="F53" s="7">
        <f t="shared" si="12"/>
        <v>2</v>
      </c>
      <c r="G53" s="7"/>
    </row>
    <row r="54" spans="1:7" x14ac:dyDescent="0.2">
      <c r="A54" s="7"/>
      <c r="B54" s="7"/>
      <c r="C54" s="7"/>
      <c r="D54" s="7">
        <v>2</v>
      </c>
      <c r="E54" s="7"/>
      <c r="F54" s="7">
        <f t="shared" si="12"/>
        <v>2</v>
      </c>
      <c r="G54" s="7"/>
    </row>
    <row r="55" spans="1:7" x14ac:dyDescent="0.2">
      <c r="A55" s="7"/>
      <c r="B55" s="7"/>
      <c r="C55" s="7"/>
      <c r="D55" s="7">
        <v>2</v>
      </c>
      <c r="E55" s="7"/>
      <c r="F55" s="7">
        <f t="shared" si="12"/>
        <v>2</v>
      </c>
      <c r="G55" s="7"/>
    </row>
    <row r="56" spans="1:7" x14ac:dyDescent="0.2">
      <c r="A56" s="7"/>
      <c r="B56" s="7"/>
      <c r="C56" s="7"/>
      <c r="D56" s="7">
        <v>1</v>
      </c>
      <c r="E56" s="7"/>
      <c r="F56" s="7">
        <f t="shared" si="12"/>
        <v>1</v>
      </c>
      <c r="G56" s="7">
        <f>G50+SUM(F51:F56)</f>
        <v>108.018</v>
      </c>
    </row>
    <row r="57" spans="1:7" x14ac:dyDescent="0.2">
      <c r="A57" s="7">
        <f>A51+1</f>
        <v>10</v>
      </c>
      <c r="B57" s="7" t="s">
        <v>33</v>
      </c>
      <c r="C57" s="7" t="s">
        <v>54</v>
      </c>
      <c r="D57" s="7"/>
      <c r="E57" s="31">
        <v>7.4999999999999997E-2</v>
      </c>
      <c r="F57" s="7">
        <f>F50</f>
        <v>12.192</v>
      </c>
      <c r="G57" s="7">
        <f>G56+F57</f>
        <v>120.21000000000001</v>
      </c>
    </row>
    <row r="58" spans="1:7" x14ac:dyDescent="0.2">
      <c r="A58" s="7">
        <f>A57+1</f>
        <v>11</v>
      </c>
      <c r="B58" s="8" t="s">
        <v>31</v>
      </c>
      <c r="C58" s="9" t="s">
        <v>55</v>
      </c>
      <c r="D58" s="7">
        <v>2</v>
      </c>
      <c r="E58" s="31">
        <v>7.4999999999999997E-2</v>
      </c>
      <c r="F58" s="7">
        <f>D58</f>
        <v>2</v>
      </c>
      <c r="G58" s="7"/>
    </row>
    <row r="59" spans="1:7" x14ac:dyDescent="0.2">
      <c r="A59" s="7"/>
      <c r="B59" s="8"/>
      <c r="C59" s="9"/>
      <c r="D59" s="7">
        <v>0.75</v>
      </c>
      <c r="E59" s="7"/>
      <c r="F59" s="7">
        <f>D59</f>
        <v>0.75</v>
      </c>
      <c r="G59" s="7">
        <f>G57+SUM(F58:F59)</f>
        <v>122.96000000000001</v>
      </c>
    </row>
    <row r="60" spans="1:7" x14ac:dyDescent="0.2">
      <c r="A60" s="7">
        <f>A58+1</f>
        <v>12</v>
      </c>
      <c r="B60" s="7" t="s">
        <v>33</v>
      </c>
      <c r="C60" s="7" t="s">
        <v>34</v>
      </c>
      <c r="D60" s="7"/>
      <c r="E60" s="7"/>
      <c r="F60" s="7">
        <f>F57</f>
        <v>12.192</v>
      </c>
      <c r="G60" s="7">
        <f>G59+F60</f>
        <v>135.15200000000002</v>
      </c>
    </row>
    <row r="61" spans="1:7" x14ac:dyDescent="0.2">
      <c r="A61" s="7">
        <f t="shared" si="10"/>
        <v>13</v>
      </c>
      <c r="B61" s="8" t="s">
        <v>31</v>
      </c>
      <c r="C61" s="7" t="s">
        <v>32</v>
      </c>
      <c r="D61" s="7">
        <v>2</v>
      </c>
      <c r="E61" s="7"/>
      <c r="F61" s="7">
        <f>D61</f>
        <v>2</v>
      </c>
      <c r="G61" s="7"/>
    </row>
    <row r="62" spans="1:7" x14ac:dyDescent="0.2">
      <c r="A62" s="7"/>
      <c r="B62" s="8"/>
      <c r="C62" s="7"/>
      <c r="D62" s="7">
        <v>2</v>
      </c>
      <c r="E62" s="7"/>
      <c r="F62" s="7">
        <v>2</v>
      </c>
      <c r="G62" s="7"/>
    </row>
    <row r="63" spans="1:7" x14ac:dyDescent="0.2">
      <c r="A63" s="7"/>
      <c r="B63" s="8"/>
      <c r="C63" s="7"/>
      <c r="D63" s="7">
        <v>2</v>
      </c>
      <c r="E63" s="7"/>
      <c r="F63" s="7">
        <v>2</v>
      </c>
      <c r="G63" s="7"/>
    </row>
    <row r="64" spans="1:7" x14ac:dyDescent="0.2">
      <c r="A64" s="7"/>
      <c r="B64" s="8"/>
      <c r="C64" s="7"/>
      <c r="D64" s="7">
        <v>2</v>
      </c>
      <c r="E64" s="7"/>
      <c r="F64" s="7">
        <v>2</v>
      </c>
      <c r="G64" s="7"/>
    </row>
    <row r="65" spans="1:7" x14ac:dyDescent="0.2">
      <c r="A65" s="7"/>
      <c r="B65" s="8"/>
      <c r="C65" s="7"/>
      <c r="D65" s="7">
        <v>2</v>
      </c>
      <c r="E65" s="7"/>
      <c r="F65" s="7">
        <v>2</v>
      </c>
      <c r="G65" s="7">
        <f>G60+SUM(F61:F65)</f>
        <v>145.15200000000002</v>
      </c>
    </row>
    <row r="66" spans="1:7" x14ac:dyDescent="0.2">
      <c r="A66" s="7">
        <f>A61+1</f>
        <v>14</v>
      </c>
      <c r="B66" s="7" t="s">
        <v>33</v>
      </c>
      <c r="C66" s="7" t="s">
        <v>53</v>
      </c>
      <c r="D66" s="7"/>
      <c r="E66" s="31">
        <v>7.4999999999999997E-2</v>
      </c>
      <c r="F66" s="7">
        <f>F60</f>
        <v>12.192</v>
      </c>
      <c r="G66" s="7">
        <f>G65+F66</f>
        <v>157.34400000000002</v>
      </c>
    </row>
    <row r="67" spans="1:7" x14ac:dyDescent="0.2">
      <c r="A67" s="7">
        <f t="shared" si="10"/>
        <v>15</v>
      </c>
      <c r="B67" s="8" t="s">
        <v>31</v>
      </c>
      <c r="C67" s="7" t="s">
        <v>32</v>
      </c>
      <c r="D67" s="7">
        <v>2</v>
      </c>
      <c r="E67" s="31">
        <v>7.4999999999999997E-2</v>
      </c>
      <c r="F67" s="7">
        <f>D67</f>
        <v>2</v>
      </c>
      <c r="G67" s="7"/>
    </row>
    <row r="68" spans="1:7" x14ac:dyDescent="0.2">
      <c r="A68" s="7"/>
      <c r="B68" s="8"/>
      <c r="C68" s="7"/>
      <c r="D68" s="7">
        <v>2</v>
      </c>
      <c r="E68" s="7"/>
      <c r="F68" s="7">
        <v>2</v>
      </c>
      <c r="G68" s="7"/>
    </row>
    <row r="69" spans="1:7" x14ac:dyDescent="0.2">
      <c r="A69" s="7"/>
      <c r="B69" s="8"/>
      <c r="C69" s="7"/>
      <c r="D69" s="7">
        <v>2</v>
      </c>
      <c r="E69" s="7"/>
      <c r="F69" s="7">
        <v>2</v>
      </c>
      <c r="G69" s="7"/>
    </row>
    <row r="70" spans="1:7" x14ac:dyDescent="0.2">
      <c r="A70" s="7"/>
      <c r="B70" s="8"/>
      <c r="C70" s="7"/>
      <c r="D70" s="7">
        <v>1</v>
      </c>
      <c r="E70" s="7"/>
      <c r="F70" s="7">
        <v>1</v>
      </c>
      <c r="G70" s="7">
        <f>G66+SUM(F67:F70)</f>
        <v>164.34400000000002</v>
      </c>
    </row>
    <row r="71" spans="1:7" x14ac:dyDescent="0.2">
      <c r="A71" s="7"/>
      <c r="B71" s="7" t="s">
        <v>56</v>
      </c>
      <c r="C71" s="7"/>
      <c r="D71" s="7">
        <f>SUM(D21:D70)</f>
        <v>79</v>
      </c>
      <c r="E71" s="7"/>
      <c r="F71" s="7"/>
      <c r="G71" s="7"/>
    </row>
  </sheetData>
  <phoneticPr fontId="6" type="noConversion"/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1EB1-1CAD-B446-9C31-52A5BCA9817C}">
  <dimension ref="A1:Q58"/>
  <sheetViews>
    <sheetView topLeftCell="E2" zoomScale="125" zoomScaleNormal="67" workbookViewId="0">
      <selection activeCell="N5" sqref="N5"/>
    </sheetView>
  </sheetViews>
  <sheetFormatPr baseColWidth="10" defaultRowHeight="16" x14ac:dyDescent="0.2"/>
  <cols>
    <col min="1" max="1" width="10.83203125" style="86"/>
    <col min="2" max="2" width="15.33203125" style="34" customWidth="1"/>
    <col min="3" max="3" width="11.83203125" style="34" customWidth="1"/>
    <col min="4" max="7" width="10.83203125" style="34"/>
    <col min="8" max="8" width="18.6640625" style="34" customWidth="1"/>
    <col min="9" max="9" width="12" style="34" customWidth="1"/>
    <col min="10" max="15" width="10.83203125" style="34"/>
    <col min="16" max="16" width="12.6640625" style="34" customWidth="1"/>
    <col min="17" max="16384" width="10.83203125" style="34"/>
  </cols>
  <sheetData>
    <row r="1" spans="1:17" x14ac:dyDescent="0.2">
      <c r="A1" s="74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7"/>
    </row>
    <row r="2" spans="1:17" s="35" customFormat="1" ht="68" customHeight="1" x14ac:dyDescent="0.2">
      <c r="A2" s="146" t="s">
        <v>90</v>
      </c>
      <c r="B2" s="148" t="s">
        <v>51</v>
      </c>
      <c r="C2" s="148"/>
      <c r="D2" s="148"/>
      <c r="E2" s="148"/>
      <c r="F2" s="148"/>
      <c r="G2" s="148"/>
      <c r="H2" s="148"/>
      <c r="I2" s="38" t="s">
        <v>44</v>
      </c>
      <c r="J2" s="38" t="s">
        <v>47</v>
      </c>
      <c r="K2" s="38" t="s">
        <v>48</v>
      </c>
      <c r="L2" s="38" t="s">
        <v>45</v>
      </c>
      <c r="M2" s="38" t="s">
        <v>46</v>
      </c>
      <c r="N2" s="38" t="s">
        <v>49</v>
      </c>
      <c r="O2" s="38" t="s">
        <v>50</v>
      </c>
      <c r="P2" s="39" t="s">
        <v>79</v>
      </c>
      <c r="Q2" s="40"/>
    </row>
    <row r="3" spans="1:17" s="35" customFormat="1" ht="44" customHeight="1" x14ac:dyDescent="0.2">
      <c r="A3" s="147"/>
      <c r="B3" s="38" t="s">
        <v>37</v>
      </c>
      <c r="C3" s="38" t="s">
        <v>38</v>
      </c>
      <c r="D3" s="38" t="s">
        <v>39</v>
      </c>
      <c r="E3" s="38" t="s">
        <v>40</v>
      </c>
      <c r="F3" s="38" t="s">
        <v>41</v>
      </c>
      <c r="G3" s="38" t="s">
        <v>42</v>
      </c>
      <c r="H3" s="38" t="s">
        <v>43</v>
      </c>
      <c r="I3" s="38" t="s">
        <v>23</v>
      </c>
      <c r="J3" s="38" t="s">
        <v>12</v>
      </c>
      <c r="K3" s="38" t="s">
        <v>12</v>
      </c>
      <c r="L3" s="38" t="s">
        <v>6</v>
      </c>
      <c r="M3" s="38" t="s">
        <v>6</v>
      </c>
      <c r="N3" s="38" t="s">
        <v>7</v>
      </c>
      <c r="O3" s="38" t="s">
        <v>7</v>
      </c>
      <c r="P3" s="39"/>
      <c r="Q3" s="40"/>
    </row>
    <row r="4" spans="1:17" x14ac:dyDescent="0.2">
      <c r="A4" s="75">
        <v>1</v>
      </c>
      <c r="B4" s="41">
        <f>0.5*((101^2+0.004567*('Conveying system input data'!$E$26^1.85)*'Pipe line section data'!F21*('Conveying system input data'!$B$7^-5))^0.5-101)</f>
        <v>1.0807308302319996</v>
      </c>
      <c r="C4" s="41">
        <f>'Conveying system input data'!$B$26*N4*0.8/'Conveying system input data'!$B$8</f>
        <v>1458.7238240916431</v>
      </c>
      <c r="D4" s="41">
        <f>'Conveying system input data'!$H$26*'Conveying system input data'!$F$26*L4*N4^2*'Pipe line section data'!F21/(2*'Conveying system input data'!$B$7)</f>
        <v>114.1145578428668</v>
      </c>
      <c r="E4" s="41"/>
      <c r="F4" s="41"/>
      <c r="G4" s="41"/>
      <c r="H4" s="41">
        <f>SUM(B4:G4)</f>
        <v>1573.9191127647418</v>
      </c>
      <c r="I4" s="41">
        <v>25</v>
      </c>
      <c r="J4" s="42">
        <v>200000</v>
      </c>
      <c r="K4" s="41">
        <f t="shared" ref="K4:K53" si="0">J4-H4</f>
        <v>198426.08088723526</v>
      </c>
      <c r="L4" s="42">
        <v>2.34</v>
      </c>
      <c r="M4" s="41">
        <f t="shared" ref="M4:M53" si="1">28*K4/8.314/(25+273.15)/1000</f>
        <v>2.241361729398724</v>
      </c>
      <c r="N4" s="42">
        <v>29</v>
      </c>
      <c r="O4" s="41">
        <f t="shared" ref="O4:O53" si="2">N4*L4/M4</f>
        <v>30.276237480955103</v>
      </c>
      <c r="P4" s="43">
        <f>N4*L4*'pressure drop calculations'!$B$7/[1]Mixtures!$D$3</f>
        <v>23187573.155087795</v>
      </c>
      <c r="Q4" s="37"/>
    </row>
    <row r="5" spans="1:17" x14ac:dyDescent="0.2">
      <c r="A5" s="75"/>
      <c r="B5" s="41">
        <f>0.5*((101^2+0.004567*('Conveying system input data'!$E$26^1.85)*'Pipe line section data'!F22*('Conveying system input data'!$B$7^-5))^0.5-101)</f>
        <v>1.0807308302319996</v>
      </c>
      <c r="C5" s="41">
        <f>'Conveying system input data'!$B$26*N5*0.8/'Conveying system input data'!$B$8</f>
        <v>1522.9196178388129</v>
      </c>
      <c r="D5" s="41">
        <f>'Conveying system input data'!$H$26*'Conveying system input data'!$F$26*L5*N5^2*'Pipe line section data'!F22/(2*'Conveying system input data'!$B$7)</f>
        <v>119.13653287189045</v>
      </c>
      <c r="E5" s="41"/>
      <c r="F5" s="41"/>
      <c r="G5" s="41"/>
      <c r="H5" s="41">
        <f t="shared" ref="H5:H6" si="3">SUM(B5:G5)</f>
        <v>1643.1368815409353</v>
      </c>
      <c r="I5" s="41">
        <v>25</v>
      </c>
      <c r="J5" s="41">
        <f>K4</f>
        <v>198426.08088723526</v>
      </c>
      <c r="K5" s="41">
        <f t="shared" si="0"/>
        <v>196782.94400569433</v>
      </c>
      <c r="L5" s="41">
        <f>M4</f>
        <v>2.241361729398724</v>
      </c>
      <c r="M5" s="41">
        <f t="shared" si="1"/>
        <v>2.2228013460762188</v>
      </c>
      <c r="N5" s="41">
        <f>O4</f>
        <v>30.276237480955103</v>
      </c>
      <c r="O5" s="41">
        <f t="shared" si="2"/>
        <v>30.529043956082393</v>
      </c>
      <c r="P5" s="43">
        <f>N5*L5*'pressure drop calculations'!$B$7/[1]Mixtures!$D$3</f>
        <v>23187573.155087795</v>
      </c>
      <c r="Q5" s="37"/>
    </row>
    <row r="6" spans="1:17" x14ac:dyDescent="0.2">
      <c r="A6" s="75"/>
      <c r="B6" s="41">
        <f>0.5*((101^2+0.004567*('Conveying system input data'!$E$26^1.85)*'Pipe line section data'!F23*('Conveying system input data'!$B$7^-5))^0.5-101)</f>
        <v>1.0807308302319996</v>
      </c>
      <c r="C6" s="41">
        <f>'Conveying system input data'!$B$26*N6*0.8/'Conveying system input data'!$B$8</f>
        <v>1535.6359912233925</v>
      </c>
      <c r="D6" s="41">
        <f>'Conveying system input data'!$H$26*'Conveying system input data'!$F$26*L6*N6^2*'Pipe line section data'!F23/(2*'Conveying system input data'!$B$7)</f>
        <v>120.13132249702714</v>
      </c>
      <c r="E6" s="41"/>
      <c r="F6" s="41"/>
      <c r="G6" s="41"/>
      <c r="H6" s="41">
        <f t="shared" si="3"/>
        <v>1656.8480445506516</v>
      </c>
      <c r="I6" s="41">
        <v>25</v>
      </c>
      <c r="J6" s="41">
        <f>K5</f>
        <v>196782.94400569433</v>
      </c>
      <c r="K6" s="41">
        <f t="shared" si="0"/>
        <v>195126.09596114367</v>
      </c>
      <c r="L6" s="41">
        <f>M5</f>
        <v>2.2228013460762188</v>
      </c>
      <c r="M6" s="41">
        <f t="shared" si="1"/>
        <v>2.2040860855526017</v>
      </c>
      <c r="N6" s="41">
        <f>O5</f>
        <v>30.529043956082393</v>
      </c>
      <c r="O6" s="41">
        <f t="shared" si="2"/>
        <v>30.788271131881107</v>
      </c>
      <c r="P6" s="43">
        <f>N6*L6*'pressure drop calculations'!$B$7/[1]Mixtures!$D$3</f>
        <v>23187573.155087795</v>
      </c>
      <c r="Q6" s="37"/>
    </row>
    <row r="7" spans="1:17" x14ac:dyDescent="0.2">
      <c r="A7" s="76">
        <v>2</v>
      </c>
      <c r="B7" s="44">
        <f>0.5*((101^2+0.004567*('Conveying system input data'!$E$26^1.85)*'Pipe line section data'!F24*('Conveying system input data'!$B$7^-5))^0.5-101)</f>
        <v>6.2694605400759045</v>
      </c>
      <c r="C7" s="44">
        <f>'Conveying system input data'!$B$26*N7*0.8/'Conveying system input data'!$B$8</f>
        <v>1548.6753311264813</v>
      </c>
      <c r="D7" s="44">
        <f>'Conveying system input data'!$H$26*'Conveying system input data'!$F$26*L7*N7^2*'Pipe line section data'!F24/(2*'Conveying system input data'!$B$7)</f>
        <v>738.53879712668015</v>
      </c>
      <c r="E7" s="44"/>
      <c r="F7" s="44"/>
      <c r="G7" s="44"/>
      <c r="H7" s="44">
        <f t="shared" ref="H7:H53" si="4">SUM(B7:G7)</f>
        <v>2293.4835887932372</v>
      </c>
      <c r="I7" s="44">
        <v>25</v>
      </c>
      <c r="J7" s="44">
        <f>K6</f>
        <v>195126.09596114367</v>
      </c>
      <c r="K7" s="41">
        <f t="shared" si="0"/>
        <v>192832.61237235044</v>
      </c>
      <c r="L7" s="44">
        <f>M6</f>
        <v>2.2040860855526017</v>
      </c>
      <c r="M7" s="41">
        <f t="shared" si="1"/>
        <v>2.1781795801177313</v>
      </c>
      <c r="N7" s="44">
        <f>O6</f>
        <v>30.788271131881107</v>
      </c>
      <c r="O7" s="41">
        <f t="shared" si="2"/>
        <v>31.154456051016762</v>
      </c>
      <c r="P7" s="43">
        <f>N7*L7*'pressure drop calculations'!$B$7/[1]Mixtures!$D$3</f>
        <v>23187573.155087795</v>
      </c>
      <c r="Q7" s="37"/>
    </row>
    <row r="8" spans="1:17" x14ac:dyDescent="0.2">
      <c r="A8" s="77">
        <f>A7+1</f>
        <v>3</v>
      </c>
      <c r="B8" s="45">
        <f>0.5*((101^2+0.004567*('Conveying system input data'!$E$26^1.85)*'Pipe line section data'!F25*('Conveying system input data'!$B$7^-5))^0.5-101)</f>
        <v>1.0807308302319996</v>
      </c>
      <c r="C8" s="45">
        <f>'Conveying system input data'!$B$26*N8*0.8/'Conveying system input data'!$B$8</f>
        <v>1567.0947333873864</v>
      </c>
      <c r="D8" s="45">
        <f>'Conveying system input data'!$H$26*'Conveying system input data'!$F$26*L8*N8^2*'Pipe line section data'!F25/(2*'Conveying system input data'!$B$7)</f>
        <v>122.59230955506222</v>
      </c>
      <c r="E8" s="45"/>
      <c r="F8" s="45"/>
      <c r="G8" s="45"/>
      <c r="H8" s="45">
        <f t="shared" si="4"/>
        <v>1690.7677737726806</v>
      </c>
      <c r="I8" s="45">
        <v>25</v>
      </c>
      <c r="J8" s="45">
        <f>K7</f>
        <v>192832.61237235044</v>
      </c>
      <c r="K8" s="41">
        <f t="shared" si="0"/>
        <v>191141.84459857777</v>
      </c>
      <c r="L8" s="45">
        <f>M7</f>
        <v>2.1781795801177313</v>
      </c>
      <c r="M8" s="41">
        <f t="shared" si="1"/>
        <v>2.1590811724664287</v>
      </c>
      <c r="N8" s="45">
        <f>O7</f>
        <v>31.154456051016762</v>
      </c>
      <c r="O8" s="41">
        <f t="shared" si="2"/>
        <v>31.4300364735616</v>
      </c>
      <c r="P8" s="43">
        <f>N8*L8*'pressure drop calculations'!$B$7/[1]Mixtures!$D$3</f>
        <v>23187573.155087795</v>
      </c>
      <c r="Q8" s="37"/>
    </row>
    <row r="9" spans="1:17" x14ac:dyDescent="0.2">
      <c r="A9" s="77"/>
      <c r="B9" s="45">
        <f>0.5*((101^2+0.004567*('Conveying system input data'!$E$26^1.85)*'Pipe line section data'!F26*('Conveying system input data'!$B$7^-5))^0.5-101)</f>
        <v>1.0807308302319996</v>
      </c>
      <c r="C9" s="45">
        <f>'Conveying system input data'!$B$26*N9*0.8/'Conveying system input data'!$B$8</f>
        <v>1580.9566550363311</v>
      </c>
      <c r="D9" s="45">
        <f>'Conveying system input data'!$H$26*'Conveying system input data'!$F$26*L9*N9^2*'Pipe line section data'!F26/(2*'Conveying system input data'!$B$7)</f>
        <v>123.6767143160572</v>
      </c>
      <c r="E9" s="45"/>
      <c r="F9" s="45"/>
      <c r="G9" s="45"/>
      <c r="H9" s="45">
        <f t="shared" si="4"/>
        <v>1705.7141001826203</v>
      </c>
      <c r="I9" s="45">
        <v>25</v>
      </c>
      <c r="J9" s="45">
        <f t="shared" ref="J9:J19" si="5">K8</f>
        <v>191141.84459857777</v>
      </c>
      <c r="K9" s="41">
        <f t="shared" si="0"/>
        <v>189436.13049839516</v>
      </c>
      <c r="L9" s="45">
        <f t="shared" ref="L9:L19" si="6">M8</f>
        <v>2.1590811724664287</v>
      </c>
      <c r="M9" s="41">
        <f t="shared" si="1"/>
        <v>2.1398139355772532</v>
      </c>
      <c r="N9" s="45">
        <f t="shared" ref="N9:N20" si="7">O8</f>
        <v>31.4300364735616</v>
      </c>
      <c r="O9" s="41">
        <f t="shared" si="2"/>
        <v>31.713037695351556</v>
      </c>
      <c r="P9" s="43">
        <f>N9*L9*'pressure drop calculations'!$B$7/[1]Mixtures!$D$3</f>
        <v>23187573.155087795</v>
      </c>
      <c r="Q9" s="37"/>
    </row>
    <row r="10" spans="1:17" x14ac:dyDescent="0.2">
      <c r="A10" s="77"/>
      <c r="B10" s="45">
        <f>0.5*((101^2+0.004567*('Conveying system input data'!$E$26^1.85)*'Pipe line section data'!F27*('Conveying system input data'!$B$7^-5))^0.5-101)</f>
        <v>1.0807308302319996</v>
      </c>
      <c r="C10" s="45">
        <f>'Conveying system input data'!$B$26*N10*0.8/'Conveying system input data'!$B$8</f>
        <v>1595.1918489836432</v>
      </c>
      <c r="D10" s="45">
        <f>'Conveying system input data'!$H$26*'Conveying system input data'!$F$26*L10*N10^2*'Pipe line section data'!F27/(2*'Conveying system input data'!$B$7)</f>
        <v>124.79031980893829</v>
      </c>
      <c r="E10" s="45"/>
      <c r="F10" s="45"/>
      <c r="G10" s="45"/>
      <c r="H10" s="45">
        <f t="shared" si="4"/>
        <v>1721.0628996228133</v>
      </c>
      <c r="I10" s="45">
        <v>25</v>
      </c>
      <c r="J10" s="45">
        <f t="shared" si="5"/>
        <v>189436.13049839516</v>
      </c>
      <c r="K10" s="41">
        <f t="shared" si="0"/>
        <v>187715.06759877235</v>
      </c>
      <c r="L10" s="45">
        <f t="shared" si="6"/>
        <v>2.1398139355772532</v>
      </c>
      <c r="M10" s="41">
        <f t="shared" si="1"/>
        <v>2.1203733232350945</v>
      </c>
      <c r="N10" s="45">
        <f t="shared" si="7"/>
        <v>31.713037695351556</v>
      </c>
      <c r="O10" s="41">
        <f t="shared" si="2"/>
        <v>32.003798225712764</v>
      </c>
      <c r="P10" s="43">
        <f>N10*L10*'pressure drop calculations'!$B$7/[1]Mixtures!$D$3</f>
        <v>23187573.155087795</v>
      </c>
      <c r="Q10" s="37"/>
    </row>
    <row r="11" spans="1:17" x14ac:dyDescent="0.2">
      <c r="A11" s="77"/>
      <c r="B11" s="45">
        <f>0.5*((101^2+0.004567*('Conveying system input data'!$E$26^1.85)*'Pipe line section data'!F28*('Conveying system input data'!$B$7^-5))^0.5-101)</f>
        <v>1.0807308302319996</v>
      </c>
      <c r="C11" s="45">
        <f>'Conveying system input data'!$B$26*N11*0.8/'Conveying system input data'!$B$8</f>
        <v>1609.8173425265197</v>
      </c>
      <c r="D11" s="45">
        <f>'Conveying system input data'!$H$26*'Conveying system input data'!$F$26*L11*N11^2*'Pipe line section data'!F28/(2*'Conveying system input data'!$B$7)</f>
        <v>125.93445806274266</v>
      </c>
      <c r="E11" s="45"/>
      <c r="F11" s="45"/>
      <c r="G11" s="45"/>
      <c r="H11" s="45">
        <f t="shared" si="4"/>
        <v>1736.8325314194942</v>
      </c>
      <c r="I11" s="45">
        <v>25</v>
      </c>
      <c r="J11" s="45">
        <f t="shared" si="5"/>
        <v>187715.06759877235</v>
      </c>
      <c r="K11" s="41">
        <f t="shared" si="0"/>
        <v>185978.23506735286</v>
      </c>
      <c r="L11" s="45">
        <f t="shared" si="6"/>
        <v>2.1203733232350945</v>
      </c>
      <c r="M11" s="41">
        <f t="shared" si="1"/>
        <v>2.1007545818433786</v>
      </c>
      <c r="N11" s="45">
        <f t="shared" si="7"/>
        <v>32.003798225712764</v>
      </c>
      <c r="O11" s="41">
        <f t="shared" si="2"/>
        <v>32.302678564410854</v>
      </c>
      <c r="P11" s="43">
        <f>N11*L11*'pressure drop calculations'!$B$7/[1]Mixtures!$D$3</f>
        <v>23187573.155087795</v>
      </c>
      <c r="Q11" s="37"/>
    </row>
    <row r="12" spans="1:17" x14ac:dyDescent="0.2">
      <c r="A12" s="77"/>
      <c r="B12" s="45">
        <f>0.5*((101^2+0.004567*('Conveying system input data'!$E$26^1.85)*'Pipe line section data'!F29*('Conveying system input data'!$B$7^-5))^0.5-101)</f>
        <v>1.0807308302319996</v>
      </c>
      <c r="C12" s="45">
        <f>'Conveying system input data'!$B$26*N12*0.8/'Conveying system input data'!$B$8</f>
        <v>1624.8512690993293</v>
      </c>
      <c r="D12" s="45">
        <f>'Conveying system input data'!$H$26*'Conveying system input data'!$F$26*L12*N12^2*'Pipe line section data'!F29/(2*'Conveying system input data'!$B$7)</f>
        <v>127.11054763855158</v>
      </c>
      <c r="E12" s="45"/>
      <c r="F12" s="45"/>
      <c r="G12" s="45"/>
      <c r="H12" s="45">
        <f t="shared" si="4"/>
        <v>1753.0425475681129</v>
      </c>
      <c r="I12" s="45">
        <v>25</v>
      </c>
      <c r="J12" s="45">
        <f t="shared" si="5"/>
        <v>185978.23506735286</v>
      </c>
      <c r="K12" s="41">
        <f t="shared" si="0"/>
        <v>184225.19251978473</v>
      </c>
      <c r="L12" s="45">
        <f t="shared" si="6"/>
        <v>2.1007545818433786</v>
      </c>
      <c r="M12" s="41">
        <f t="shared" si="1"/>
        <v>2.0809527369520318</v>
      </c>
      <c r="N12" s="45">
        <f t="shared" si="7"/>
        <v>32.302678564410854</v>
      </c>
      <c r="O12" s="41">
        <f t="shared" si="2"/>
        <v>32.610063071107724</v>
      </c>
      <c r="P12" s="43">
        <f>N12*L12*'pressure drop calculations'!$B$7/[1]Mixtures!$D$3</f>
        <v>23187573.155087795</v>
      </c>
      <c r="Q12" s="37"/>
    </row>
    <row r="13" spans="1:17" x14ac:dyDescent="0.2">
      <c r="A13" s="77"/>
      <c r="B13" s="45">
        <f>0.5*((101^2+0.004567*('Conveying system input data'!$E$26^1.85)*'Pipe line section data'!F30*('Conveying system input data'!$B$7^-5))^0.5-101)</f>
        <v>1.0807308302319996</v>
      </c>
      <c r="C13" s="45">
        <f>'Conveying system input data'!$B$26*N13*0.8/'Conveying system input data'!$B$8</f>
        <v>1640.3129623088255</v>
      </c>
      <c r="D13" s="45">
        <f>'Conveying system input data'!$H$26*'Conveying system input data'!$F$26*L13*N13^2*'Pipe line section data'!F30/(2*'Conveying system input data'!$B$7)</f>
        <v>128.32010098577439</v>
      </c>
      <c r="E13" s="45"/>
      <c r="F13" s="45"/>
      <c r="G13" s="45"/>
      <c r="H13" s="45">
        <f t="shared" si="4"/>
        <v>1769.7137941248318</v>
      </c>
      <c r="I13" s="45">
        <v>25</v>
      </c>
      <c r="J13" s="45">
        <f t="shared" si="5"/>
        <v>184225.19251978473</v>
      </c>
      <c r="K13" s="41">
        <f t="shared" si="0"/>
        <v>182455.47872565989</v>
      </c>
      <c r="L13" s="45">
        <f t="shared" si="6"/>
        <v>2.0809527369520318</v>
      </c>
      <c r="M13" s="41">
        <f t="shared" si="1"/>
        <v>2.0609625786401589</v>
      </c>
      <c r="N13" s="45">
        <f t="shared" si="7"/>
        <v>32.610063071107724</v>
      </c>
      <c r="O13" s="41">
        <f t="shared" si="2"/>
        <v>32.926362032625853</v>
      </c>
      <c r="P13" s="43">
        <f>N13*L13*'pressure drop calculations'!$B$7/[1]Mixtures!$D$3</f>
        <v>23187573.155087795</v>
      </c>
      <c r="Q13" s="37"/>
    </row>
    <row r="14" spans="1:17" x14ac:dyDescent="0.2">
      <c r="A14" s="77"/>
      <c r="B14" s="45">
        <f>0.5*((101^2+0.004567*('Conveying system input data'!$E$26^1.85)*'Pipe line section data'!F31*('Conveying system input data'!$B$7^-5))^0.5-101)</f>
        <v>1.0807308302319996</v>
      </c>
      <c r="C14" s="45">
        <f>'Conveying system input data'!$B$26*N14*0.8/'Conveying system input data'!$B$8</f>
        <v>1656.2230599192371</v>
      </c>
      <c r="D14" s="45">
        <f>'Conveying system input data'!$H$26*'Conveying system input data'!$F$26*L14*N14^2*'Pipe line section data'!F31/(2*'Conveying system input data'!$B$7)</f>
        <v>129.56473257680196</v>
      </c>
      <c r="E14" s="45"/>
      <c r="F14" s="45"/>
      <c r="G14" s="45"/>
      <c r="H14" s="45">
        <f t="shared" si="4"/>
        <v>1786.8685233262711</v>
      </c>
      <c r="I14" s="45">
        <v>25</v>
      </c>
      <c r="J14" s="45">
        <f t="shared" si="5"/>
        <v>182455.47872565989</v>
      </c>
      <c r="K14" s="41">
        <f t="shared" si="0"/>
        <v>180668.61020233363</v>
      </c>
      <c r="L14" s="45">
        <f t="shared" si="6"/>
        <v>2.0609625786401589</v>
      </c>
      <c r="M14" s="41">
        <f t="shared" si="1"/>
        <v>2.0407786456322454</v>
      </c>
      <c r="N14" s="45">
        <f t="shared" si="7"/>
        <v>32.926362032625853</v>
      </c>
      <c r="O14" s="41">
        <f t="shared" si="2"/>
        <v>33.25201395322155</v>
      </c>
      <c r="P14" s="43">
        <f>N14*L14*'pressure drop calculations'!$B$7/[1]Mixtures!$D$3</f>
        <v>23187573.155087795</v>
      </c>
      <c r="Q14" s="37"/>
    </row>
    <row r="15" spans="1:17" x14ac:dyDescent="0.2">
      <c r="A15" s="77"/>
      <c r="B15" s="45">
        <f>0.5*((101^2+0.004567*('Conveying system input data'!$E$26^1.85)*'Pipe line section data'!F32*('Conveying system input data'!$B$7^-5))^0.5-101)</f>
        <v>1.0807308302319996</v>
      </c>
      <c r="C15" s="45">
        <f>'Conveying system input data'!$B$26*N15*0.8/'Conveying system input data'!$B$8</f>
        <v>1672.6036190548973</v>
      </c>
      <c r="D15" s="45">
        <f>'Conveying system input data'!$H$26*'Conveying system input data'!$F$26*L15*N15^2*'Pipe line section data'!F32/(2*'Conveying system input data'!$B$7)</f>
        <v>130.84616791919706</v>
      </c>
      <c r="E15" s="45"/>
      <c r="F15" s="45"/>
      <c r="G15" s="45"/>
      <c r="H15" s="45">
        <f t="shared" si="4"/>
        <v>1804.5305178043263</v>
      </c>
      <c r="I15" s="45">
        <v>25</v>
      </c>
      <c r="J15" s="45">
        <f t="shared" si="5"/>
        <v>180668.61020233363</v>
      </c>
      <c r="K15" s="41">
        <f t="shared" si="0"/>
        <v>178864.07968452931</v>
      </c>
      <c r="L15" s="45">
        <f t="shared" si="6"/>
        <v>2.0407786456322454</v>
      </c>
      <c r="M15" s="41">
        <f t="shared" si="1"/>
        <v>2.020395208011275</v>
      </c>
      <c r="N15" s="45">
        <f t="shared" si="7"/>
        <v>33.25201395322155</v>
      </c>
      <c r="O15" s="41">
        <f t="shared" si="2"/>
        <v>33.587488096844318</v>
      </c>
      <c r="P15" s="43">
        <f>N15*L15*'pressure drop calculations'!$B$7/[1]Mixtures!$D$3</f>
        <v>23187573.155087795</v>
      </c>
      <c r="Q15" s="37"/>
    </row>
    <row r="16" spans="1:17" x14ac:dyDescent="0.2">
      <c r="A16" s="77"/>
      <c r="B16" s="45">
        <f>0.5*((101^2+0.004567*('Conveying system input data'!$E$26^1.85)*'Pipe line section data'!F33*('Conveying system input data'!$B$7^-5))^0.5-101)</f>
        <v>1.0807308302319996</v>
      </c>
      <c r="C16" s="45">
        <f>'Conveying system input data'!$B$26*N16*0.8/'Conveying system input data'!$B$8</f>
        <v>1689.4782440779757</v>
      </c>
      <c r="D16" s="45">
        <f>'Conveying system input data'!$H$26*'Conveying system input data'!$F$26*L16*N16^2*'Pipe line section data'!F33/(2*'Conveying system input data'!$B$7)</f>
        <v>132.16625355944626</v>
      </c>
      <c r="E16" s="45"/>
      <c r="F16" s="45"/>
      <c r="G16" s="45"/>
      <c r="H16" s="45">
        <f t="shared" si="4"/>
        <v>1822.7252284676538</v>
      </c>
      <c r="I16" s="45">
        <v>25</v>
      </c>
      <c r="J16" s="45">
        <f t="shared" si="5"/>
        <v>178864.07968452931</v>
      </c>
      <c r="K16" s="41">
        <f t="shared" si="0"/>
        <v>177041.35445606164</v>
      </c>
      <c r="L16" s="45">
        <f t="shared" si="6"/>
        <v>2.020395208011275</v>
      </c>
      <c r="M16" s="41">
        <f t="shared" si="1"/>
        <v>1.9998062483743675</v>
      </c>
      <c r="N16" s="45">
        <f t="shared" si="7"/>
        <v>33.587488096844318</v>
      </c>
      <c r="O16" s="41">
        <f t="shared" si="2"/>
        <v>33.933287314790149</v>
      </c>
      <c r="P16" s="43">
        <f>N16*L16*'pressure drop calculations'!$B$7/[1]Mixtures!$D$3</f>
        <v>23187573.155087795</v>
      </c>
      <c r="Q16" s="37"/>
    </row>
    <row r="17" spans="1:17" x14ac:dyDescent="0.2">
      <c r="A17" s="77"/>
      <c r="B17" s="45">
        <f>0.5*((101^2+0.004567*('Conveying system input data'!$E$26^1.85)*'Pipe line section data'!F34*('Conveying system input data'!$B$7^-5))^0.5-101)</f>
        <v>1.0807308302319996</v>
      </c>
      <c r="C17" s="45">
        <v>651.51342253896314</v>
      </c>
      <c r="D17" s="45">
        <f>'Conveying system input data'!$H$26*'Conveying system input data'!$F$26*L17*N17^2*'Pipe line section data'!F34/(2*'Conveying system input data'!$B$7)</f>
        <v>133.52696820973239</v>
      </c>
      <c r="E17" s="45"/>
      <c r="F17" s="45"/>
      <c r="G17" s="45"/>
      <c r="H17" s="45">
        <f t="shared" si="4"/>
        <v>786.12112157892761</v>
      </c>
      <c r="I17" s="45">
        <v>25</v>
      </c>
      <c r="J17" s="45">
        <f t="shared" si="5"/>
        <v>177041.35445606164</v>
      </c>
      <c r="K17" s="41">
        <f t="shared" si="0"/>
        <v>176255.23333448271</v>
      </c>
      <c r="L17" s="45">
        <f t="shared" si="6"/>
        <v>1.9998062483743675</v>
      </c>
      <c r="M17" s="41">
        <f t="shared" si="1"/>
        <v>1.990926459040725</v>
      </c>
      <c r="N17" s="45">
        <f t="shared" si="7"/>
        <v>33.933287314790149</v>
      </c>
      <c r="O17" s="41">
        <f t="shared" si="2"/>
        <v>34.084634162075751</v>
      </c>
      <c r="P17" s="43">
        <f>N17*L17*'pressure drop calculations'!$B$7/[1]Mixtures!$D$3</f>
        <v>23187573.155087795</v>
      </c>
      <c r="Q17" s="37"/>
    </row>
    <row r="18" spans="1:17" x14ac:dyDescent="0.2">
      <c r="A18" s="77"/>
      <c r="B18" s="45">
        <f>0.5*((101^2+0.004567*('Conveying system input data'!$E$26^1.85)*'Pipe line section data'!F35*('Conveying system input data'!$B$7^-5))^0.5-101)</f>
        <v>0.54322576493792951</v>
      </c>
      <c r="C18" s="45">
        <f>'Conveying system input data'!$B$26*N18*0.8/'Conveying system input data'!$B$8</f>
        <v>1714.485099574752</v>
      </c>
      <c r="D18" s="45">
        <f>'Conveying system input data'!$H$26*'Conveying system input data'!$F$26*L18*N18^2*'Pipe line section data'!F35/(2*'Conveying system input data'!$B$7)</f>
        <v>67.061257873123239</v>
      </c>
      <c r="E18" s="45"/>
      <c r="F18" s="45"/>
      <c r="G18" s="45"/>
      <c r="H18" s="45">
        <f t="shared" si="4"/>
        <v>1782.0895832128131</v>
      </c>
      <c r="I18" s="45">
        <v>25</v>
      </c>
      <c r="J18" s="45">
        <f t="shared" si="5"/>
        <v>176255.23333448271</v>
      </c>
      <c r="K18" s="41">
        <f t="shared" si="0"/>
        <v>174473.1437512699</v>
      </c>
      <c r="L18" s="45">
        <f t="shared" si="6"/>
        <v>1.990926459040725</v>
      </c>
      <c r="M18" s="41">
        <f t="shared" si="1"/>
        <v>1.9707965075126126</v>
      </c>
      <c r="N18" s="45">
        <f t="shared" si="7"/>
        <v>34.084634162075751</v>
      </c>
      <c r="O18" s="41">
        <f t="shared" si="2"/>
        <v>34.432778696998838</v>
      </c>
      <c r="P18" s="43">
        <f>N18*L18*'pressure drop calculations'!$B$7/[1]Mixtures!$D$3</f>
        <v>23187573.155087795</v>
      </c>
      <c r="Q18" s="37"/>
    </row>
    <row r="19" spans="1:17" x14ac:dyDescent="0.2">
      <c r="A19" s="78">
        <f>A8+1</f>
        <v>4</v>
      </c>
      <c r="B19" s="46">
        <f>0.5*((101^2+0.004567*('Conveying system input data'!$E$26^1.85)*'Pipe line section data'!F36*('Conveying system input data'!$B$7^-5))^0.5-101)</f>
        <v>6.2694605400759045</v>
      </c>
      <c r="C19" s="46">
        <f>'Conveying system input data'!$B$26*N19*0.8/'Conveying system input data'!$B$8</f>
        <v>1731.9970556892213</v>
      </c>
      <c r="D19" s="46">
        <f>'Conveying system input data'!$H$26*'Conveying system input data'!$F$26*L19*N19^2*'Pipe line section data'!F36/(2*'Conveying system input data'!$B$7)</f>
        <v>825.9620311800528</v>
      </c>
      <c r="E19" s="46"/>
      <c r="F19" s="46"/>
      <c r="G19" s="46"/>
      <c r="H19" s="46">
        <f t="shared" si="4"/>
        <v>2564.2285474093501</v>
      </c>
      <c r="I19" s="46">
        <v>25</v>
      </c>
      <c r="J19" s="46">
        <f t="shared" si="5"/>
        <v>174473.1437512699</v>
      </c>
      <c r="K19" s="41">
        <f t="shared" si="0"/>
        <v>171908.91520386055</v>
      </c>
      <c r="L19" s="46">
        <f t="shared" si="6"/>
        <v>1.9707965075126126</v>
      </c>
      <c r="M19" s="41">
        <f t="shared" si="1"/>
        <v>1.9418317479109697</v>
      </c>
      <c r="N19" s="46">
        <f t="shared" si="7"/>
        <v>34.432778696998838</v>
      </c>
      <c r="O19" s="41">
        <f t="shared" si="2"/>
        <v>34.946385068121408</v>
      </c>
      <c r="P19" s="43">
        <f>N19*L19*'pressure drop calculations'!$B$7/[1]Mixtures!$D$3</f>
        <v>23187573.155087795</v>
      </c>
      <c r="Q19" s="37"/>
    </row>
    <row r="20" spans="1:17" x14ac:dyDescent="0.2">
      <c r="A20" s="79">
        <f t="shared" ref="A20:A28" si="8">A19+1</f>
        <v>5</v>
      </c>
      <c r="B20" s="47">
        <f>0.5*((101^2+0.004567*('Conveying system input data'!$E$26^1.85)*'Pipe line section data'!F37*('Conveying system input data'!$B$7^-5))^0.5-101)</f>
        <v>1.0807308302319996</v>
      </c>
      <c r="C20" s="47">
        <f>'Conveying system input data'!$B$26*N20*0.8/'Conveying system input data'!$B$8</f>
        <v>1757.8318780947986</v>
      </c>
      <c r="D20" s="47">
        <f>'Conveying system input data'!$H$26*'Conveying system input data'!$F$26*L20*N20^2*'Pipe line section data'!F37/(2*'Conveying system input data'!$B$7)</f>
        <v>137.5134924225944</v>
      </c>
      <c r="E20" s="47"/>
      <c r="F20" s="47"/>
      <c r="G20" s="47"/>
      <c r="H20" s="47">
        <f t="shared" si="4"/>
        <v>1896.426101347625</v>
      </c>
      <c r="I20" s="47">
        <v>25</v>
      </c>
      <c r="J20" s="47">
        <f t="shared" ref="J20:J53" si="9">K19</f>
        <v>171908.91520386055</v>
      </c>
      <c r="K20" s="41">
        <f t="shared" si="0"/>
        <v>170012.48910251292</v>
      </c>
      <c r="L20" s="47">
        <f t="shared" ref="L20:L53" si="10">M19</f>
        <v>1.9418317479109697</v>
      </c>
      <c r="M20" s="41">
        <f t="shared" si="1"/>
        <v>1.9204102852323357</v>
      </c>
      <c r="N20" s="47">
        <f t="shared" si="7"/>
        <v>34.946385068121408</v>
      </c>
      <c r="O20" s="41">
        <f t="shared" si="2"/>
        <v>35.336198999678935</v>
      </c>
      <c r="P20" s="43">
        <f>N20*L20*'pressure drop calculations'!$B$7/[1]Mixtures!$D$3</f>
        <v>23187573.155087795</v>
      </c>
      <c r="Q20" s="37"/>
    </row>
    <row r="21" spans="1:17" x14ac:dyDescent="0.2">
      <c r="A21" s="79"/>
      <c r="B21" s="47">
        <f>0.5*((101^2+0.004567*('Conveying system input data'!$E$26^1.85)*'Pipe line section data'!F38*('Conveying system input data'!$B$7^-5))^0.5-101)</f>
        <v>1.0807308302319996</v>
      </c>
      <c r="C21" s="47">
        <f>'Conveying system input data'!$B$26*N21*0.8/'Conveying system input data'!$B$8</f>
        <v>1777.4398390922399</v>
      </c>
      <c r="D21" s="47">
        <f>'Conveying system input data'!$H$26*'Conveying system input data'!$F$26*L21*N21^2*'Pipe line section data'!F38/(2*'Conveying system input data'!$B$7)</f>
        <v>139.04740429985912</v>
      </c>
      <c r="E21" s="47"/>
      <c r="F21" s="47"/>
      <c r="G21" s="47"/>
      <c r="H21" s="47">
        <f t="shared" si="4"/>
        <v>1917.567974222331</v>
      </c>
      <c r="I21" s="47">
        <v>25</v>
      </c>
      <c r="J21" s="47">
        <f t="shared" si="9"/>
        <v>170012.48910251292</v>
      </c>
      <c r="K21" s="41">
        <f t="shared" si="0"/>
        <v>168094.92112829059</v>
      </c>
      <c r="L21" s="47">
        <f t="shared" si="10"/>
        <v>1.9204102852323357</v>
      </c>
      <c r="M21" s="41">
        <f t="shared" si="1"/>
        <v>1.8987500102738988</v>
      </c>
      <c r="N21" s="47">
        <f t="shared" ref="N21:N53" si="11">O20</f>
        <v>35.336198999678935</v>
      </c>
      <c r="O21" s="41">
        <f t="shared" si="2"/>
        <v>35.739301979101</v>
      </c>
      <c r="P21" s="43">
        <f>N21*L21*'pressure drop calculations'!$B$7/[1]Mixtures!$D$3</f>
        <v>23187573.155087795</v>
      </c>
      <c r="Q21" s="37"/>
    </row>
    <row r="22" spans="1:17" x14ac:dyDescent="0.2">
      <c r="A22" s="79"/>
      <c r="B22" s="47">
        <f>0.5*((101^2+0.004567*('Conveying system input data'!$E$26^1.85)*'Pipe line section data'!F39*('Conveying system input data'!$B$7^-5))^0.5-101)</f>
        <v>1.0807308302319996</v>
      </c>
      <c r="C22" s="47">
        <f>'Conveying system input data'!$B$26*N22*0.8/'Conveying system input data'!$B$8</f>
        <v>1797.7162501144915</v>
      </c>
      <c r="D22" s="47">
        <f>'Conveying system input data'!$H$26*'Conveying system input data'!$F$26*L22*N22^2*'Pipe line section data'!F39/(2*'Conveying system input data'!$B$7)</f>
        <v>140.63360837785535</v>
      </c>
      <c r="E22" s="47"/>
      <c r="F22" s="47"/>
      <c r="G22" s="47"/>
      <c r="H22" s="47">
        <f t="shared" si="4"/>
        <v>1939.4305893225787</v>
      </c>
      <c r="I22" s="47">
        <v>25</v>
      </c>
      <c r="J22" s="47">
        <f t="shared" si="9"/>
        <v>168094.92112829059</v>
      </c>
      <c r="K22" s="41">
        <f t="shared" si="0"/>
        <v>166155.49053896801</v>
      </c>
      <c r="L22" s="47">
        <f t="shared" si="10"/>
        <v>1.8987500102738988</v>
      </c>
      <c r="M22" s="41">
        <f t="shared" si="1"/>
        <v>1.8768427817468021</v>
      </c>
      <c r="N22" s="47">
        <f t="shared" si="11"/>
        <v>35.739301979101</v>
      </c>
      <c r="O22" s="41">
        <f t="shared" si="2"/>
        <v>36.156464814192809</v>
      </c>
      <c r="P22" s="43">
        <f>N22*L22*'pressure drop calculations'!$B$7/[1]Mixtures!$D$3</f>
        <v>23187573.155087795</v>
      </c>
      <c r="Q22" s="37"/>
    </row>
    <row r="23" spans="1:17" x14ac:dyDescent="0.2">
      <c r="A23" s="79"/>
      <c r="B23" s="47">
        <f>0.5*((101^2+0.004567*('Conveying system input data'!$E$26^1.85)*'Pipe line section data'!F40*('Conveying system input data'!$B$7^-5))^0.5-101)</f>
        <v>1.0807308302319996</v>
      </c>
      <c r="C23" s="47">
        <f>'Conveying system input data'!$B$26*N23*0.8/'Conveying system input data'!$B$8</f>
        <v>1818.6998834273891</v>
      </c>
      <c r="D23" s="47">
        <f>'Conveying system input data'!$H$26*'Conveying system input data'!$F$26*L23*N23^2*'Pipe line section data'!F40/(2*'Conveying system input data'!$B$7)</f>
        <v>142.27513777354429</v>
      </c>
      <c r="E23" s="47"/>
      <c r="F23" s="47"/>
      <c r="G23" s="47"/>
      <c r="H23" s="47">
        <f t="shared" si="4"/>
        <v>1962.0557520311652</v>
      </c>
      <c r="I23" s="47">
        <v>25</v>
      </c>
      <c r="J23" s="47">
        <f t="shared" si="9"/>
        <v>166155.49053896801</v>
      </c>
      <c r="K23" s="41">
        <f t="shared" si="0"/>
        <v>164193.43478693685</v>
      </c>
      <c r="L23" s="47">
        <f t="shared" si="10"/>
        <v>1.8768427817468021</v>
      </c>
      <c r="M23" s="41">
        <f t="shared" si="1"/>
        <v>1.854679986141075</v>
      </c>
      <c r="N23" s="47">
        <f t="shared" si="11"/>
        <v>36.156464814192809</v>
      </c>
      <c r="O23" s="41">
        <f t="shared" si="2"/>
        <v>36.588522282591924</v>
      </c>
      <c r="P23" s="43">
        <f>N23*L23*'pressure drop calculations'!$B$7/[1]Mixtures!$D$3</f>
        <v>23187573.155087795</v>
      </c>
      <c r="Q23" s="37"/>
    </row>
    <row r="24" spans="1:17" x14ac:dyDescent="0.2">
      <c r="A24" s="79"/>
      <c r="B24" s="47">
        <f>0.5*((101^2+0.004567*('Conveying system input data'!$E$26^1.85)*'Pipe line section data'!F41*('Conveying system input data'!$B$7^-5))^0.5-101)</f>
        <v>1.0807308302319996</v>
      </c>
      <c r="C24" s="47">
        <f>'Conveying system input data'!$B$26*N24*0.8/'Conveying system input data'!$B$8</f>
        <v>1840.4327290318893</v>
      </c>
      <c r="D24" s="47">
        <f>'Conveying system input data'!$H$26*'Conveying system input data'!$F$26*L24*N24^2*'Pipe line section data'!F41/(2*'Conveying system input data'!$B$7)</f>
        <v>143.97527732420198</v>
      </c>
      <c r="E24" s="47"/>
      <c r="F24" s="47"/>
      <c r="G24" s="47"/>
      <c r="H24" s="47">
        <f t="shared" si="4"/>
        <v>1985.4887371863231</v>
      </c>
      <c r="I24" s="47">
        <v>25</v>
      </c>
      <c r="J24" s="47">
        <f t="shared" si="9"/>
        <v>164193.43478693685</v>
      </c>
      <c r="K24" s="41">
        <f t="shared" si="0"/>
        <v>162207.94604975052</v>
      </c>
      <c r="L24" s="47">
        <f t="shared" si="10"/>
        <v>1.854679986141075</v>
      </c>
      <c r="M24" s="41">
        <f t="shared" si="1"/>
        <v>1.8322524985357</v>
      </c>
      <c r="N24" s="47">
        <f t="shared" si="11"/>
        <v>36.588522282591924</v>
      </c>
      <c r="O24" s="41">
        <f t="shared" si="2"/>
        <v>37.036380113675584</v>
      </c>
      <c r="P24" s="43">
        <f>N24*L24*'pressure drop calculations'!$B$7/[1]Mixtures!$D$3</f>
        <v>23187573.155087795</v>
      </c>
      <c r="Q24" s="37"/>
    </row>
    <row r="25" spans="1:17" x14ac:dyDescent="0.2">
      <c r="A25" s="79"/>
      <c r="B25" s="47">
        <f>0.5*((101^2+0.004567*('Conveying system input data'!$E$26^1.85)*'Pipe line section data'!F42*('Conveying system input data'!$B$7^-5))^0.5-101)</f>
        <v>1.0807308302319996</v>
      </c>
      <c r="C25" s="47">
        <f>'Conveying system input data'!$B$26*N25*0.8/'Conveying system input data'!$B$8</f>
        <v>1862.9603458597426</v>
      </c>
      <c r="D25" s="47">
        <f>'Conveying system input data'!$H$26*'Conveying system input data'!$F$26*L25*N25^2*'Pipe line section data'!F42/(2*'Conveying system input data'!$B$7)</f>
        <v>145.73759106111842</v>
      </c>
      <c r="E25" s="47"/>
      <c r="F25" s="47"/>
      <c r="G25" s="47"/>
      <c r="H25" s="47">
        <f t="shared" si="4"/>
        <v>2009.7786677510928</v>
      </c>
      <c r="I25" s="47">
        <v>25</v>
      </c>
      <c r="J25" s="47">
        <f t="shared" si="9"/>
        <v>162207.94604975052</v>
      </c>
      <c r="K25" s="41">
        <f t="shared" si="0"/>
        <v>160198.16738199943</v>
      </c>
      <c r="L25" s="47">
        <f t="shared" si="10"/>
        <v>1.8322524985357</v>
      </c>
      <c r="M25" s="41">
        <f t="shared" si="1"/>
        <v>1.8095506391313443</v>
      </c>
      <c r="N25" s="47">
        <f t="shared" si="11"/>
        <v>37.036380113675584</v>
      </c>
      <c r="O25" s="41">
        <f t="shared" si="2"/>
        <v>37.501022923887597</v>
      </c>
      <c r="P25" s="43">
        <f>N25*L25*'pressure drop calculations'!$B$7/[1]Mixtures!$D$3</f>
        <v>23187573.155087795</v>
      </c>
      <c r="Q25" s="37"/>
    </row>
    <row r="26" spans="1:17" x14ac:dyDescent="0.2">
      <c r="A26" s="79"/>
      <c r="B26" s="47">
        <f>0.5*((101^2+0.004567*('Conveying system input data'!$E$26^1.85)*'Pipe line section data'!F43*('Conveying system input data'!$B$7^-5))^0.5-101)</f>
        <v>0.54322576493792951</v>
      </c>
      <c r="C26" s="47">
        <f>'Conveying system input data'!$B$26*N26*0.8/'Conveying system input data'!$B$8</f>
        <v>1886.3322609269549</v>
      </c>
      <c r="D26" s="47">
        <f>'Conveying system input data'!$H$26*'Conveying system input data'!$F$26*L26*N26^2*'Pipe line section data'!F43/(2*'Conveying system input data'!$B$7)</f>
        <v>73.782976717493867</v>
      </c>
      <c r="E26" s="47"/>
      <c r="F26" s="47"/>
      <c r="G26" s="47"/>
      <c r="H26" s="47">
        <f t="shared" si="4"/>
        <v>1960.6584634093867</v>
      </c>
      <c r="I26" s="47">
        <v>25</v>
      </c>
      <c r="J26" s="47">
        <f t="shared" si="9"/>
        <v>160198.16738199943</v>
      </c>
      <c r="K26" s="41">
        <f t="shared" si="0"/>
        <v>158237.50891859006</v>
      </c>
      <c r="L26" s="47">
        <f t="shared" si="10"/>
        <v>1.8095506391313443</v>
      </c>
      <c r="M26" s="41">
        <f t="shared" si="1"/>
        <v>1.7874036268804452</v>
      </c>
      <c r="N26" s="47">
        <f t="shared" si="11"/>
        <v>37.501022923887597</v>
      </c>
      <c r="O26" s="41">
        <f t="shared" si="2"/>
        <v>37.965683284662475</v>
      </c>
      <c r="P26" s="43">
        <f>N26*L26*'pressure drop calculations'!$B$7/[1]Mixtures!$D$3</f>
        <v>23187573.155087795</v>
      </c>
      <c r="Q26" s="37"/>
    </row>
    <row r="27" spans="1:17" x14ac:dyDescent="0.2">
      <c r="A27" s="80">
        <v>6</v>
      </c>
      <c r="B27" s="48">
        <f>0.5*((101^2+0.004567*('Conveying system input data'!$E$26^1.85)*'Pipe line section data'!F44*('Conveying system input data'!$B$7^-5))^0.5-101)</f>
        <v>6.2694605400759045</v>
      </c>
      <c r="C27" s="48">
        <f>'Conveying system input data'!$B$26*N27*0.8/'Conveying system input data'!$B$8</f>
        <v>1909.7050588018974</v>
      </c>
      <c r="D27" s="48">
        <f>'Conveying system input data'!$H$26*'Conveying system input data'!$F$26*L27*N27^2*'Pipe line section data'!F44/(2*'Conveying system input data'!$B$7)</f>
        <v>910.70817016785156</v>
      </c>
      <c r="E27" s="48"/>
      <c r="F27" s="48"/>
      <c r="G27" s="48"/>
      <c r="H27" s="48">
        <f t="shared" si="4"/>
        <v>2826.6826895098247</v>
      </c>
      <c r="I27" s="48">
        <v>25</v>
      </c>
      <c r="J27" s="48">
        <f t="shared" si="9"/>
        <v>158237.50891859006</v>
      </c>
      <c r="K27" s="41">
        <f t="shared" si="0"/>
        <v>155410.82622908024</v>
      </c>
      <c r="L27" s="48">
        <f t="shared" si="10"/>
        <v>1.7874036268804452</v>
      </c>
      <c r="M27" s="41">
        <f t="shared" si="1"/>
        <v>1.755474263698487</v>
      </c>
      <c r="N27" s="48">
        <f t="shared" si="11"/>
        <v>37.965683284662475</v>
      </c>
      <c r="O27" s="41">
        <f t="shared" si="2"/>
        <v>38.656220374903398</v>
      </c>
      <c r="P27" s="43">
        <f>N27*L27*'pressure drop calculations'!$B$7/[1]Mixtures!$D$3</f>
        <v>23187573.155087795</v>
      </c>
      <c r="Q27" s="37"/>
    </row>
    <row r="28" spans="1:17" x14ac:dyDescent="0.2">
      <c r="A28" s="81">
        <f t="shared" si="8"/>
        <v>7</v>
      </c>
      <c r="B28" s="49">
        <f>0.5*((101^2+0.004567*('Conveying system input data'!$E$26^1.85)*'Pipe line section data'!F45*('Conveying system input data'!$B$7^-5))^0.5-101)</f>
        <v>1.0807308302319996</v>
      </c>
      <c r="C28" s="49">
        <f>'Conveying system input data'!$B$26*N28*0.8/'Conveying system input data'!$B$8</f>
        <v>1944.4396417313237</v>
      </c>
      <c r="D28" s="49">
        <f>'Conveying system input data'!$H$26*'Conveying system input data'!$F$26*L28*N28^2*'Pipe line section data'!F45/(2*'Conveying system input data'!$B$7)</f>
        <v>152.11163779167308</v>
      </c>
      <c r="E28" s="49">
        <f>'Pipe line section data'!F45*'pressure drop calculations'!L28*'Conveying system input data'!$B$10</f>
        <v>34.442405053764318</v>
      </c>
      <c r="F28" s="49">
        <f>'Pipe line section data'!F45*'Conveying system input data'!$D$19*'Conveying system input data'!$B$10/(N28*0.8)</f>
        <v>39.890981186974408</v>
      </c>
      <c r="G28" s="49"/>
      <c r="H28" s="49">
        <f t="shared" si="4"/>
        <v>2171.9653965939674</v>
      </c>
      <c r="I28" s="49">
        <v>25</v>
      </c>
      <c r="J28" s="49">
        <f t="shared" si="9"/>
        <v>155410.82622908024</v>
      </c>
      <c r="K28" s="41">
        <f t="shared" si="0"/>
        <v>153238.86083248627</v>
      </c>
      <c r="L28" s="49">
        <f t="shared" si="10"/>
        <v>1.755474263698487</v>
      </c>
      <c r="M28" s="41">
        <f t="shared" si="1"/>
        <v>1.7309403914588266</v>
      </c>
      <c r="N28" s="93">
        <f t="shared" si="11"/>
        <v>38.656220374903398</v>
      </c>
      <c r="O28" s="41">
        <f t="shared" si="2"/>
        <v>39.204122992824715</v>
      </c>
      <c r="P28" s="43">
        <f>N28*L28*'pressure drop calculations'!$B$7/[1]Mixtures!$D$3</f>
        <v>23187573.155087795</v>
      </c>
      <c r="Q28" s="37"/>
    </row>
    <row r="29" spans="1:17" x14ac:dyDescent="0.2">
      <c r="A29" s="82"/>
      <c r="B29" s="49">
        <f>0.5*((101^2+0.004567*('Conveying system input data'!$E$26^1.85)*'Pipe line section data'!F46*('Conveying system input data'!$B$7^-5))^0.5-101)</f>
        <v>1.0807308302319996</v>
      </c>
      <c r="C29" s="49">
        <f>'Conveying system input data'!$B$26*N29*0.8/'Conveying system input data'!$B$8</f>
        <v>1971.9995935259442</v>
      </c>
      <c r="D29" s="49">
        <f>'Conveying system input data'!$H$26*'Conveying system input data'!$F$26*L29*N29^2*'Pipe line section data'!F46/(2*'Conveying system input data'!$B$7)</f>
        <v>154.2676262394331</v>
      </c>
      <c r="E29" s="49">
        <f>'Pipe line section data'!F46*'pressure drop calculations'!L29*'Conveying system input data'!$B$10</f>
        <v>33.96105048042218</v>
      </c>
      <c r="F29" s="49">
        <f>'Pipe line section data'!F46*'Conveying system input data'!$D$19*'Conveying system input data'!$B$10/(N29*0.8)</f>
        <v>39.33347928780443</v>
      </c>
      <c r="G29" s="49"/>
      <c r="H29" s="49">
        <f t="shared" si="4"/>
        <v>2200.6424803638361</v>
      </c>
      <c r="I29" s="49">
        <v>25</v>
      </c>
      <c r="J29" s="49">
        <f t="shared" si="9"/>
        <v>153238.86083248627</v>
      </c>
      <c r="K29" s="41">
        <f t="shared" si="0"/>
        <v>151038.21835212244</v>
      </c>
      <c r="L29" s="49">
        <f t="shared" si="10"/>
        <v>1.7309403914588266</v>
      </c>
      <c r="M29" s="41">
        <f t="shared" si="1"/>
        <v>1.7060825914482538</v>
      </c>
      <c r="N29" s="49">
        <f t="shared" si="11"/>
        <v>39.204122992824715</v>
      </c>
      <c r="O29" s="41">
        <f t="shared" si="2"/>
        <v>39.7753311241487</v>
      </c>
      <c r="P29" s="43">
        <f>N29*L29*'pressure drop calculations'!$B$7/[1]Mixtures!$D$3</f>
        <v>23187573.155087795</v>
      </c>
      <c r="Q29" s="37"/>
    </row>
    <row r="30" spans="1:17" x14ac:dyDescent="0.2">
      <c r="A30" s="82"/>
      <c r="B30" s="49">
        <f>0.5*((101^2+0.004567*('Conveying system input data'!$E$26^1.85)*'Pipe line section data'!F47*('Conveying system input data'!$B$7^-5))^0.5-101)</f>
        <v>1.0807308302319996</v>
      </c>
      <c r="C30" s="49">
        <f>'Conveying system input data'!$B$26*N30*0.8/'Conveying system input data'!$B$8</f>
        <v>2000.7318317906741</v>
      </c>
      <c r="D30" s="49">
        <f>'Conveying system input data'!$H$26*'Conveying system input data'!$F$26*L30*N30^2*'Pipe line section data'!F47/(2*'Conveying system input data'!$B$7)</f>
        <v>156.51532152709817</v>
      </c>
      <c r="E30" s="49">
        <f>'Pipe line section data'!F47*'pressure drop calculations'!L30*'Conveying system input data'!$B$10</f>
        <v>33.473340444214742</v>
      </c>
      <c r="F30" s="49">
        <f>'Pipe line section data'!F47*'Conveying system input data'!$D$19*'Conveying system input data'!$B$10/(N30*0.8)</f>
        <v>38.768616530726923</v>
      </c>
      <c r="G30" s="49"/>
      <c r="H30" s="49">
        <f t="shared" si="4"/>
        <v>2230.5698411229459</v>
      </c>
      <c r="I30" s="49">
        <v>25</v>
      </c>
      <c r="J30" s="49">
        <f t="shared" si="9"/>
        <v>151038.21835212244</v>
      </c>
      <c r="K30" s="41">
        <f t="shared" si="0"/>
        <v>148807.64851099948</v>
      </c>
      <c r="L30" s="49">
        <f t="shared" si="10"/>
        <v>1.7060825914482538</v>
      </c>
      <c r="M30" s="41">
        <f t="shared" si="1"/>
        <v>1.6808867409114228</v>
      </c>
      <c r="N30" s="49">
        <f t="shared" si="11"/>
        <v>39.7753311241487</v>
      </c>
      <c r="O30" s="41">
        <f t="shared" si="2"/>
        <v>40.371548152735414</v>
      </c>
      <c r="P30" s="43">
        <f>N30*L30*'pressure drop calculations'!$B$7/[1]Mixtures!$D$3</f>
        <v>23187573.155087795</v>
      </c>
      <c r="Q30" s="37"/>
    </row>
    <row r="31" spans="1:17" x14ac:dyDescent="0.2">
      <c r="A31" s="82"/>
      <c r="B31" s="49">
        <f>0.5*((101^2+0.004567*('Conveying system input data'!$E$26^1.85)*'Pipe line section data'!F48*('Conveying system input data'!$B$7^-5))^0.5-101)</f>
        <v>1.0807308302319996</v>
      </c>
      <c r="C31" s="49">
        <f>'Conveying system input data'!$B$26*N31*0.8/'Conveying system input data'!$B$8</f>
        <v>2030.7220381330387</v>
      </c>
      <c r="D31" s="49">
        <f>'Conveying system input data'!$H$26*'Conveying system input data'!$F$26*L31*N31^2*'Pipe line section data'!F48/(2*'Conveying system input data'!$B$7)</f>
        <v>158.86142644418649</v>
      </c>
      <c r="E31" s="49">
        <f>'Pipe line section data'!F48*'pressure drop calculations'!L31*'Conveying system input data'!$B$10</f>
        <v>32.978997856682113</v>
      </c>
      <c r="F31" s="49">
        <f>'Pipe line section data'!F48*'Conveying system input data'!$D$19*'Conveying system input data'!$B$10/(N31*0.8)</f>
        <v>38.196071993595972</v>
      </c>
      <c r="G31" s="49"/>
      <c r="H31" s="49">
        <f t="shared" si="4"/>
        <v>2261.8392652577354</v>
      </c>
      <c r="I31" s="49">
        <v>25</v>
      </c>
      <c r="J31" s="49">
        <f t="shared" si="9"/>
        <v>148807.64851099948</v>
      </c>
      <c r="K31" s="41">
        <f t="shared" si="0"/>
        <v>146545.80924574175</v>
      </c>
      <c r="L31" s="49">
        <f t="shared" si="10"/>
        <v>1.6808867409114228</v>
      </c>
      <c r="M31" s="41">
        <f t="shared" si="1"/>
        <v>1.6553376803013859</v>
      </c>
      <c r="N31" s="49">
        <f t="shared" si="11"/>
        <v>40.371548152735414</v>
      </c>
      <c r="O31" s="41">
        <f t="shared" si="2"/>
        <v>40.994656744383896</v>
      </c>
      <c r="P31" s="43">
        <f>N31*L31*'pressure drop calculations'!$B$7/[1]Mixtures!$D$3</f>
        <v>23187573.155087795</v>
      </c>
      <c r="Q31" s="37"/>
    </row>
    <row r="32" spans="1:17" x14ac:dyDescent="0.2">
      <c r="A32" s="82"/>
      <c r="B32" s="49">
        <f>0.5*((101^2+0.004567*('Conveying system input data'!$E$26^1.85)*'Pipe line section data'!F49*('Conveying system input data'!$B$7^-5))^0.5-101)</f>
        <v>0.1363527924613237</v>
      </c>
      <c r="C32" s="49">
        <f>'Conveying system input data'!$B$26*N32*0.8/'Conveying system input data'!$B$8</f>
        <v>2062.0649121893775</v>
      </c>
      <c r="D32" s="49">
        <f>'Conveying system input data'!$H$26*'Conveying system input data'!$F$26*L32*N32^2*'Pipe line section data'!F49/(2*'Conveying system input data'!$B$7)</f>
        <v>20.164168656489082</v>
      </c>
      <c r="E32" s="49">
        <f>'Pipe line section data'!F49*'pressure drop calculations'!L32*'Conveying system input data'!$B$10</f>
        <v>4.0597156609391494</v>
      </c>
      <c r="F32" s="49">
        <f>'Pipe line section data'!F49*'Conveying system input data'!$D$19*'Conveying system input data'!$B$10/(N32*0.8)</f>
        <v>4.7019376493073723</v>
      </c>
      <c r="G32" s="49"/>
      <c r="H32" s="49">
        <f t="shared" si="4"/>
        <v>2091.1270869485743</v>
      </c>
      <c r="I32" s="49">
        <v>25</v>
      </c>
      <c r="J32" s="49">
        <f t="shared" si="9"/>
        <v>146545.80924574175</v>
      </c>
      <c r="K32" s="41">
        <f t="shared" si="0"/>
        <v>144454.68215879318</v>
      </c>
      <c r="L32" s="49">
        <f t="shared" si="10"/>
        <v>1.6553376803013859</v>
      </c>
      <c r="M32" s="41">
        <f t="shared" si="1"/>
        <v>1.631716933456826</v>
      </c>
      <c r="N32" s="49">
        <f t="shared" si="11"/>
        <v>40.994656744383896</v>
      </c>
      <c r="O32" s="41">
        <f t="shared" si="2"/>
        <v>41.588095709858933</v>
      </c>
      <c r="P32" s="43">
        <f>N32*L32*'pressure drop calculations'!$B$7/[1]Mixtures!$D$3</f>
        <v>23187573.155087795</v>
      </c>
      <c r="Q32" s="37"/>
    </row>
    <row r="33" spans="1:17" x14ac:dyDescent="0.2">
      <c r="A33" s="83">
        <v>8</v>
      </c>
      <c r="B33" s="50">
        <f>0.5*((101^2+0.004567*('Conveying system input data'!$E$26^1.85)*'Pipe line section data'!F50*('Conveying system input data'!$B$7^-5))^0.5-101)</f>
        <v>6.2694605400759045</v>
      </c>
      <c r="C33" s="50">
        <f>'Conveying system input data'!$B$26*N33*0.8/'Conveying system input data'!$B$8</f>
        <v>2091.9153796749893</v>
      </c>
      <c r="D33" s="50">
        <f>'Conveying system input data'!$H$26*'Conveying system input data'!$F$26*L33*N33^2*'Pipe line section data'!F50/(2*'Conveying system input data'!$B$7)</f>
        <v>997.60139336124746</v>
      </c>
      <c r="E33" s="50"/>
      <c r="F33" s="50"/>
      <c r="G33" s="50"/>
      <c r="H33" s="50">
        <f t="shared" si="4"/>
        <v>3095.786233576313</v>
      </c>
      <c r="I33" s="50">
        <v>25</v>
      </c>
      <c r="J33" s="50">
        <f t="shared" si="9"/>
        <v>144454.68215879318</v>
      </c>
      <c r="K33" s="41">
        <f t="shared" si="0"/>
        <v>141358.89592521687</v>
      </c>
      <c r="L33" s="50">
        <f t="shared" si="10"/>
        <v>1.631716933456826</v>
      </c>
      <c r="M33" s="41">
        <f t="shared" si="1"/>
        <v>1.5967478570364706</v>
      </c>
      <c r="N33" s="50">
        <f t="shared" si="11"/>
        <v>41.588095709858933</v>
      </c>
      <c r="O33" s="41">
        <f t="shared" si="2"/>
        <v>42.49888277661239</v>
      </c>
      <c r="P33" s="51">
        <f>N33*L33*'pressure drop calculations'!$B$7/[1]Mixtures!$D$3</f>
        <v>23187573.155087795</v>
      </c>
      <c r="Q33" s="37"/>
    </row>
    <row r="34" spans="1:17" x14ac:dyDescent="0.2">
      <c r="A34" s="84">
        <v>9</v>
      </c>
      <c r="B34" s="52">
        <f>0.5*((101^2+0.004567*('Conveying system input data'!$E$26^1.85)*'Pipe line section data'!F51*('Conveying system input data'!$B$7^-5))^0.5-101)</f>
        <v>1.0807308302319996</v>
      </c>
      <c r="C34" s="52">
        <f>'Conveying system input data'!$B$26*N34*0.8/'Conveying system input data'!$B$8</f>
        <v>2137.7287173628447</v>
      </c>
      <c r="D34" s="52">
        <f>'Conveying system input data'!$H$26*'Conveying system input data'!$F$26*L34*N34^2*'Pipe line section data'!F51/(2*'Conveying system input data'!$B$7)</f>
        <v>167.23245575410172</v>
      </c>
      <c r="E34" s="52"/>
      <c r="F34" s="52"/>
      <c r="G34" s="52"/>
      <c r="H34" s="52">
        <f t="shared" si="4"/>
        <v>2306.0419039471785</v>
      </c>
      <c r="I34" s="52">
        <v>25</v>
      </c>
      <c r="J34" s="52">
        <f t="shared" si="9"/>
        <v>141358.89592521687</v>
      </c>
      <c r="K34" s="41">
        <f t="shared" si="0"/>
        <v>139052.85402126968</v>
      </c>
      <c r="L34" s="52">
        <f t="shared" si="10"/>
        <v>1.5967478570364706</v>
      </c>
      <c r="M34" s="41">
        <f t="shared" si="1"/>
        <v>1.5706994966254502</v>
      </c>
      <c r="N34" s="50">
        <f t="shared" si="11"/>
        <v>42.49888277661239</v>
      </c>
      <c r="O34" s="41">
        <f t="shared" si="2"/>
        <v>43.203681000594308</v>
      </c>
      <c r="P34" s="43">
        <f>N34*L34*'pressure drop calculations'!$B$7/[1]Mixtures!$D$3</f>
        <v>23187573.155087795</v>
      </c>
      <c r="Q34" s="37"/>
    </row>
    <row r="35" spans="1:17" x14ac:dyDescent="0.2">
      <c r="A35" s="84"/>
      <c r="B35" s="52">
        <f>0.5*((101^2+0.004567*('Conveying system input data'!$E$26^1.85)*'Pipe line section data'!F52*('Conveying system input data'!$B$7^-5))^0.5-101)</f>
        <v>1.0807308302319996</v>
      </c>
      <c r="C35" s="52">
        <f>'Conveying system input data'!$B$26*N35*0.8/'Conveying system input data'!$B$8</f>
        <v>2173.1806470352558</v>
      </c>
      <c r="D35" s="52">
        <f>'Conveying system input data'!$H$26*'Conveying system input data'!$F$26*L35*N35^2*'Pipe line section data'!F52/(2*'Conveying system input data'!$B$7)</f>
        <v>170.00582601955466</v>
      </c>
      <c r="E35" s="52"/>
      <c r="F35" s="52"/>
      <c r="G35" s="52"/>
      <c r="H35" s="52">
        <f t="shared" si="4"/>
        <v>2344.2672038850424</v>
      </c>
      <c r="I35" s="52">
        <v>25</v>
      </c>
      <c r="J35" s="52">
        <f t="shared" si="9"/>
        <v>139052.85402126968</v>
      </c>
      <c r="K35" s="41">
        <f t="shared" si="0"/>
        <v>136708.58681738464</v>
      </c>
      <c r="L35" s="52">
        <f t="shared" si="10"/>
        <v>1.5706994966254502</v>
      </c>
      <c r="M35" s="41">
        <f t="shared" si="1"/>
        <v>1.5442193546462386</v>
      </c>
      <c r="N35" s="50">
        <f t="shared" si="11"/>
        <v>43.203681000594308</v>
      </c>
      <c r="O35" s="41">
        <f t="shared" si="2"/>
        <v>43.944534042928041</v>
      </c>
      <c r="P35" s="43">
        <f>N35*L35*'pressure drop calculations'!$B$7/[1]Mixtures!$D$3</f>
        <v>23187573.155087795</v>
      </c>
      <c r="Q35" s="37"/>
    </row>
    <row r="36" spans="1:17" x14ac:dyDescent="0.2">
      <c r="A36" s="84"/>
      <c r="B36" s="52">
        <f>0.5*((101^2+0.004567*('Conveying system input data'!$E$26^1.85)*'Pipe line section data'!F53*('Conveying system input data'!$B$7^-5))^0.5-101)</f>
        <v>1.0807308302319996</v>
      </c>
      <c r="C36" s="52">
        <f>'Conveying system input data'!$B$26*N36*0.8/'Conveying system input data'!$B$8</f>
        <v>2210.4461636905307</v>
      </c>
      <c r="D36" s="52">
        <f>'Conveying system input data'!$H$26*'Conveying system input data'!$F$26*L36*N36^2*'Pipe line section data'!F53/(2*'Conveying system input data'!$B$7)</f>
        <v>172.92107144550144</v>
      </c>
      <c r="E36" s="52"/>
      <c r="F36" s="52"/>
      <c r="G36" s="52"/>
      <c r="H36" s="52">
        <f t="shared" si="4"/>
        <v>2384.4479659662643</v>
      </c>
      <c r="I36" s="52">
        <v>25</v>
      </c>
      <c r="J36" s="52">
        <f t="shared" si="9"/>
        <v>136708.58681738464</v>
      </c>
      <c r="K36" s="41">
        <f t="shared" si="0"/>
        <v>134324.13885141836</v>
      </c>
      <c r="L36" s="52">
        <f t="shared" si="10"/>
        <v>1.5442193546462386</v>
      </c>
      <c r="M36" s="41">
        <f t="shared" si="1"/>
        <v>1.517285342782664</v>
      </c>
      <c r="N36" s="50">
        <f t="shared" si="11"/>
        <v>43.944534042928041</v>
      </c>
      <c r="O36" s="41">
        <f t="shared" si="2"/>
        <v>44.724613153875481</v>
      </c>
      <c r="P36" s="43">
        <f>N36*L36*'pressure drop calculations'!$B$7/[1]Mixtures!$D$3</f>
        <v>23187573.155087795</v>
      </c>
      <c r="Q36" s="37"/>
    </row>
    <row r="37" spans="1:17" x14ac:dyDescent="0.2">
      <c r="A37" s="84"/>
      <c r="B37" s="52">
        <f>0.5*((101^2+0.004567*('Conveying system input data'!$E$26^1.85)*'Pipe line section data'!F54*('Conveying system input data'!$B$7^-5))^0.5-101)</f>
        <v>1.0807308302319996</v>
      </c>
      <c r="C37" s="52">
        <f>'Conveying system input data'!$B$26*N37*0.8/'Conveying system input data'!$B$8</f>
        <v>2249.6847838220915</v>
      </c>
      <c r="D37" s="52">
        <f>'Conveying system input data'!$H$26*'Conveying system input data'!$F$26*L37*N37^2*'Pipe line section data'!F54/(2*'Conveying system input data'!$B$7)</f>
        <v>175.99067085337123</v>
      </c>
      <c r="E37" s="52"/>
      <c r="F37" s="52"/>
      <c r="G37" s="52"/>
      <c r="H37" s="52">
        <f t="shared" si="4"/>
        <v>2426.7561855056947</v>
      </c>
      <c r="I37" s="52">
        <v>25</v>
      </c>
      <c r="J37" s="52">
        <f t="shared" si="9"/>
        <v>134324.13885141836</v>
      </c>
      <c r="K37" s="41">
        <f t="shared" si="0"/>
        <v>131897.38266591268</v>
      </c>
      <c r="L37" s="52">
        <f t="shared" si="10"/>
        <v>1.517285342782664</v>
      </c>
      <c r="M37" s="41">
        <f t="shared" si="1"/>
        <v>1.4898734299108618</v>
      </c>
      <c r="N37" s="50">
        <f t="shared" si="11"/>
        <v>44.724613153875481</v>
      </c>
      <c r="O37" s="41">
        <f t="shared" si="2"/>
        <v>45.547493255222371</v>
      </c>
      <c r="P37" s="43">
        <f>N37*L37*'pressure drop calculations'!$B$7/[1]Mixtures!$D$3</f>
        <v>23187573.155087795</v>
      </c>
      <c r="Q37" s="37"/>
    </row>
    <row r="38" spans="1:17" x14ac:dyDescent="0.2">
      <c r="A38" s="84"/>
      <c r="B38" s="52">
        <f>0.5*((101^2+0.004567*('Conveying system input data'!$E$26^1.85)*'Pipe line section data'!F55*('Conveying system input data'!$B$7^-5))^0.5-101)</f>
        <v>1.0807308302319996</v>
      </c>
      <c r="C38" s="52">
        <f>'Conveying system input data'!$B$26*N38*0.8/'Conveying system input data'!$B$8</f>
        <v>2291.0763289326314</v>
      </c>
      <c r="D38" s="52">
        <f>'Conveying system input data'!$H$26*'Conveying system input data'!$F$26*L38*N38^2*'Pipe line section data'!F55/(2*'Conveying system input data'!$B$7)</f>
        <v>179.2286915058848</v>
      </c>
      <c r="E38" s="52"/>
      <c r="F38" s="52"/>
      <c r="G38" s="52"/>
      <c r="H38" s="52">
        <f t="shared" si="4"/>
        <v>2471.3857512687482</v>
      </c>
      <c r="I38" s="52">
        <v>25</v>
      </c>
      <c r="J38" s="52">
        <f t="shared" si="9"/>
        <v>131897.38266591268</v>
      </c>
      <c r="K38" s="41">
        <f t="shared" si="0"/>
        <v>129425.99691464393</v>
      </c>
      <c r="L38" s="52">
        <f t="shared" si="10"/>
        <v>1.4898734299108618</v>
      </c>
      <c r="M38" s="41">
        <f t="shared" si="1"/>
        <v>1.4619573947973978</v>
      </c>
      <c r="N38" s="50">
        <f t="shared" si="11"/>
        <v>45.547493255222371</v>
      </c>
      <c r="O38" s="41">
        <f t="shared" si="2"/>
        <v>46.417221350971197</v>
      </c>
      <c r="P38" s="43">
        <f>N38*L38*'pressure drop calculations'!$B$7/[1]Mixtures!$D$3</f>
        <v>23187573.155087795</v>
      </c>
      <c r="Q38" s="37"/>
    </row>
    <row r="39" spans="1:17" x14ac:dyDescent="0.2">
      <c r="A39" s="84"/>
      <c r="B39" s="52">
        <f>0.5*((101^2+0.004567*('Conveying system input data'!$E$26^1.85)*'Pipe line section data'!F56*('Conveying system input data'!$B$7^-5))^0.5-101)</f>
        <v>0.54322576493792951</v>
      </c>
      <c r="C39" s="52">
        <f>'Conveying system input data'!$B$26*N39*0.8/'Conveying system input data'!$B$8</f>
        <v>2334.8243666481717</v>
      </c>
      <c r="D39" s="52">
        <f>'Conveying system input data'!$H$26*'Conveying system input data'!$F$26*L39*N39^2*'Pipe line section data'!F56/(2*'Conveying system input data'!$B$7)</f>
        <v>91.325529151044066</v>
      </c>
      <c r="E39" s="52"/>
      <c r="F39" s="52"/>
      <c r="G39" s="52"/>
      <c r="H39" s="52">
        <f t="shared" si="4"/>
        <v>2426.6931215641539</v>
      </c>
      <c r="I39" s="52">
        <v>25</v>
      </c>
      <c r="J39" s="52">
        <f t="shared" si="9"/>
        <v>129425.99691464393</v>
      </c>
      <c r="K39" s="41">
        <f t="shared" si="0"/>
        <v>126999.30379307977</v>
      </c>
      <c r="L39" s="52">
        <f t="shared" si="10"/>
        <v>1.4619573947973978</v>
      </c>
      <c r="M39" s="41">
        <f t="shared" si="1"/>
        <v>1.4345461942770386</v>
      </c>
      <c r="N39" s="50">
        <f t="shared" si="11"/>
        <v>46.417221350971197</v>
      </c>
      <c r="O39" s="41">
        <f t="shared" si="2"/>
        <v>47.3041581168455</v>
      </c>
      <c r="P39" s="43">
        <f>N39*L39*'pressure drop calculations'!$B$7/[1]Mixtures!$D$3</f>
        <v>23187573.155087795</v>
      </c>
      <c r="Q39" s="37"/>
    </row>
    <row r="40" spans="1:17" x14ac:dyDescent="0.2">
      <c r="A40" s="75">
        <v>10</v>
      </c>
      <c r="B40" s="41">
        <f>0.5*((101^2+0.004567*('Conveying system input data'!$E$26^1.85)*'Pipe line section data'!F55*('Conveying system input data'!$B$7^-5))^0.5-101)</f>
        <v>1.0807308302319996</v>
      </c>
      <c r="C40" s="41">
        <f>'Conveying system input data'!$B$26*N40*0.8/'Conveying system input data'!$B$8</f>
        <v>2379.4380146082972</v>
      </c>
      <c r="D40" s="41">
        <f>'Conveying system input data'!$H$26*'Conveying system input data'!$F$26*L40*N40^2*'Pipe line section data'!F57/(2*'Conveying system input data'!$B$7)</f>
        <v>1134.7163952486226</v>
      </c>
      <c r="E40" s="41"/>
      <c r="F40" s="41"/>
      <c r="G40" s="41"/>
      <c r="H40" s="41">
        <f t="shared" si="4"/>
        <v>3515.2351406871517</v>
      </c>
      <c r="I40" s="41">
        <v>25</v>
      </c>
      <c r="J40" s="52">
        <f t="shared" si="9"/>
        <v>126999.30379307977</v>
      </c>
      <c r="K40" s="41">
        <f t="shared" si="0"/>
        <v>123484.06865239263</v>
      </c>
      <c r="L40" s="52">
        <f t="shared" si="10"/>
        <v>1.4345461942770386</v>
      </c>
      <c r="M40" s="41">
        <f t="shared" si="1"/>
        <v>1.3948391483134022</v>
      </c>
      <c r="N40" s="50">
        <f t="shared" si="11"/>
        <v>47.3041581168455</v>
      </c>
      <c r="O40" s="41">
        <f t="shared" si="2"/>
        <v>48.650771009728459</v>
      </c>
      <c r="P40" s="43">
        <f>N40*L40*'pressure drop calculations'!$B$7/[1]Mixtures!$D$3</f>
        <v>23187573.155087795</v>
      </c>
      <c r="Q40" s="37"/>
    </row>
    <row r="41" spans="1:17" x14ac:dyDescent="0.2">
      <c r="A41" s="81">
        <v>11</v>
      </c>
      <c r="B41" s="41">
        <f>0.5*((101^2+0.004567*('Conveying system input data'!$E$26^1.85)*'Pipe line section data'!F56*('Conveying system input data'!$B$7^-5))^0.5-101)</f>
        <v>0.54322576493792951</v>
      </c>
      <c r="C41" s="41">
        <f>'Conveying system input data'!$B$26*N41*0.8/'Conveying system input data'!$B$8</f>
        <v>2447.1737493902742</v>
      </c>
      <c r="D41" s="41">
        <f>'Conveying system input data'!$H$26*'Conveying system input data'!$F$26*L41*N41^2*'Pipe line section data'!F58/(2*'Conveying system input data'!$B$7)</f>
        <v>191.44004215481812</v>
      </c>
      <c r="E41" s="41">
        <f>-'Pipe line section data'!F58*L41*'Conveying system input data'!$B$10</f>
        <v>-27.366744089908952</v>
      </c>
      <c r="F41" s="41">
        <f>-'Pipe line section data'!F58*'Conveying system input data'!$D$19*'Conveying system input data'!$B$10/('pressure drop calculations'!N41*0.8)</f>
        <v>-31.69599428190881</v>
      </c>
      <c r="G41" s="41"/>
      <c r="H41" s="41">
        <f t="shared" si="4"/>
        <v>2580.0942789382125</v>
      </c>
      <c r="I41" s="41">
        <v>25</v>
      </c>
      <c r="J41" s="52">
        <f t="shared" si="9"/>
        <v>123484.06865239263</v>
      </c>
      <c r="K41" s="41">
        <f t="shared" si="0"/>
        <v>120903.97437345442</v>
      </c>
      <c r="L41" s="52">
        <f t="shared" si="10"/>
        <v>1.3948391483134022</v>
      </c>
      <c r="M41" s="41">
        <f t="shared" si="1"/>
        <v>1.365695174148337</v>
      </c>
      <c r="N41" s="50">
        <f t="shared" si="11"/>
        <v>48.650771009728459</v>
      </c>
      <c r="O41" s="41">
        <f t="shared" si="2"/>
        <v>49.688979857689155</v>
      </c>
      <c r="P41" s="43">
        <f>N41*L41*'pressure drop calculations'!$B$7/[1]Mixtures!$D$3</f>
        <v>23187573.155087795</v>
      </c>
      <c r="Q41" s="37"/>
    </row>
    <row r="42" spans="1:17" x14ac:dyDescent="0.2">
      <c r="A42" s="75"/>
      <c r="B42" s="41">
        <f>0.5*((101^2+0.004567*('Conveying system input data'!$E$26^1.85)*'Pipe line section data'!F57*('Conveying system input data'!$B$7^-5))^0.5-101)</f>
        <v>6.2694605400759045</v>
      </c>
      <c r="C42" s="41">
        <f>'Conveying system input data'!$B$26*N42*0.8/'Conveying system input data'!$B$8</f>
        <v>2499.3965073524469</v>
      </c>
      <c r="D42" s="41">
        <f>'Conveying system input data'!$H$26*'Conveying system input data'!$F$26*L42*N42^2*'Pipe line section data'!F59/(2*'Conveying system input data'!$B$7)</f>
        <v>73.322016803318689</v>
      </c>
      <c r="E42" s="41">
        <f>-'Pipe line section data'!F59*L42*'Conveying system input data'!$B$10</f>
        <v>-10.048102243796389</v>
      </c>
      <c r="F42" s="41">
        <f>-'Pipe line section data'!F59*'Conveying system input data'!$D$19*'Conveying system input data'!$B$10/('pressure drop calculations'!N42*0.8)</f>
        <v>-11.637650069627448</v>
      </c>
      <c r="G42" s="41"/>
      <c r="H42" s="41">
        <f t="shared" si="4"/>
        <v>2557.302232382418</v>
      </c>
      <c r="I42" s="41">
        <v>25</v>
      </c>
      <c r="J42" s="52">
        <f t="shared" si="9"/>
        <v>120903.97437345442</v>
      </c>
      <c r="K42" s="41">
        <f t="shared" si="0"/>
        <v>118346.67214107201</v>
      </c>
      <c r="L42" s="52">
        <f t="shared" si="10"/>
        <v>1.365695174148337</v>
      </c>
      <c r="M42" s="41">
        <f t="shared" si="1"/>
        <v>1.3368086521319835</v>
      </c>
      <c r="N42" s="50">
        <f t="shared" si="11"/>
        <v>49.688979857689155</v>
      </c>
      <c r="O42" s="41">
        <f t="shared" si="2"/>
        <v>50.762687608114135</v>
      </c>
      <c r="P42" s="43">
        <f>N42*L42*'pressure drop calculations'!$B$7/[1]Mixtures!$D$3</f>
        <v>23187573.155087795</v>
      </c>
      <c r="Q42" s="37"/>
    </row>
    <row r="43" spans="1:17" x14ac:dyDescent="0.2">
      <c r="A43" s="75">
        <v>12</v>
      </c>
      <c r="B43" s="41">
        <f>0.5*((101^2+0.004567*('Conveying system input data'!$E$26^1.85)*'Pipe line section data'!F58*('Conveying system input data'!$B$7^-5))^0.5-101)</f>
        <v>1.0807308302319996</v>
      </c>
      <c r="C43" s="41">
        <f>'Conveying system input data'!$B$26*N43*0.8/'Conveying system input data'!$B$8</f>
        <v>2553.404889271646</v>
      </c>
      <c r="D43" s="41">
        <f>'Conveying system input data'!$H$26*'Conveying system input data'!$F$26*L43*N43^2*'Pipe line section data'!F60/(2*'Conveying system input data'!$B$7)</f>
        <v>1217.6784491868759</v>
      </c>
      <c r="E43" s="41"/>
      <c r="F43" s="41"/>
      <c r="G43" s="41"/>
      <c r="H43" s="41">
        <f t="shared" si="4"/>
        <v>3772.164069288754</v>
      </c>
      <c r="I43" s="41">
        <v>25</v>
      </c>
      <c r="J43" s="52">
        <f t="shared" si="9"/>
        <v>118346.67214107201</v>
      </c>
      <c r="K43" s="41">
        <f t="shared" si="0"/>
        <v>114574.50807178325</v>
      </c>
      <c r="L43" s="52">
        <f t="shared" si="10"/>
        <v>1.3368086521319835</v>
      </c>
      <c r="M43" s="41">
        <f t="shared" si="1"/>
        <v>1.2941994137490433</v>
      </c>
      <c r="N43" s="50">
        <f t="shared" si="11"/>
        <v>50.762687608114135</v>
      </c>
      <c r="O43" s="41">
        <f t="shared" si="2"/>
        <v>52.433959773960034</v>
      </c>
      <c r="P43" s="43">
        <f>N43*L43*'pressure drop calculations'!$B$7/[1]Mixtures!$D$3</f>
        <v>23187573.155087795</v>
      </c>
      <c r="Q43" s="37"/>
    </row>
    <row r="44" spans="1:17" x14ac:dyDescent="0.2">
      <c r="A44" s="75">
        <v>13</v>
      </c>
      <c r="B44" s="41">
        <f>0.5*((101^2+0.004567*('Conveying system input data'!$E$26^1.85)*'Pipe line section data'!F59*('Conveying system input data'!$B$7^-5))^0.5-101)</f>
        <v>0.40796275994372166</v>
      </c>
      <c r="C44" s="41">
        <f>'Conveying system input data'!$B$26*N44*0.8/'Conveying system input data'!$B$8</f>
        <v>2637.4712521978749</v>
      </c>
      <c r="D44" s="41">
        <f>'Conveying system input data'!$H$26*'Conveying system input data'!$F$26*L44*N44^2*'Pipe line section data'!F61/(2*'Conveying system input data'!$B$7)</f>
        <v>206.32683226055559</v>
      </c>
      <c r="E44" s="41"/>
      <c r="F44" s="41"/>
      <c r="G44" s="41"/>
      <c r="H44" s="41">
        <f t="shared" si="4"/>
        <v>2844.2060472183739</v>
      </c>
      <c r="I44" s="41">
        <v>25</v>
      </c>
      <c r="J44" s="52">
        <f t="shared" si="9"/>
        <v>114574.50807178325</v>
      </c>
      <c r="K44" s="41">
        <f t="shared" si="0"/>
        <v>111730.30202456487</v>
      </c>
      <c r="L44" s="52">
        <f t="shared" si="10"/>
        <v>1.2941994137490433</v>
      </c>
      <c r="M44" s="41">
        <f t="shared" si="1"/>
        <v>1.2620721119535576</v>
      </c>
      <c r="N44" s="50">
        <f t="shared" si="11"/>
        <v>52.433959773960034</v>
      </c>
      <c r="O44" s="41">
        <f t="shared" si="2"/>
        <v>53.768718409409828</v>
      </c>
      <c r="P44" s="43">
        <f>N44*L44*'pressure drop calculations'!$B$7/[1]Mixtures!$D$3</f>
        <v>23187573.155087795</v>
      </c>
      <c r="Q44" s="37"/>
    </row>
    <row r="45" spans="1:17" x14ac:dyDescent="0.2">
      <c r="A45" s="75"/>
      <c r="B45" s="41">
        <f>0.5*((101^2+0.004567*('Conveying system input data'!$E$26^1.85)*'Pipe line section data'!F60*('Conveying system input data'!$B$7^-5))^0.5-101)</f>
        <v>6.2694605400759045</v>
      </c>
      <c r="C45" s="41">
        <f>'Conveying system input data'!$B$26*N45*0.8/'Conveying system input data'!$B$8</f>
        <v>2704.6107080924498</v>
      </c>
      <c r="D45" s="41">
        <f>'Conveying system input data'!$H$26*'Conveying system input data'!$F$26*L45*N45^2*'Pipe line section data'!F62/(2*'Conveying system input data'!$B$7)</f>
        <v>211.57908714025569</v>
      </c>
      <c r="E45" s="41"/>
      <c r="F45" s="41"/>
      <c r="G45" s="41"/>
      <c r="H45" s="41">
        <f t="shared" si="4"/>
        <v>2922.4592557727815</v>
      </c>
      <c r="I45" s="41">
        <v>25</v>
      </c>
      <c r="J45" s="52">
        <f t="shared" si="9"/>
        <v>111730.30202456487</v>
      </c>
      <c r="K45" s="41">
        <f t="shared" si="0"/>
        <v>108807.84276879208</v>
      </c>
      <c r="L45" s="52">
        <f t="shared" si="10"/>
        <v>1.2620721119535576</v>
      </c>
      <c r="M45" s="41">
        <f t="shared" si="1"/>
        <v>1.2290608852925888</v>
      </c>
      <c r="N45" s="50">
        <f t="shared" si="11"/>
        <v>53.768718409409828</v>
      </c>
      <c r="O45" s="41">
        <f t="shared" si="2"/>
        <v>55.21288718243224</v>
      </c>
      <c r="P45" s="43">
        <f>N45*L45*'pressure drop calculations'!$B$7/[1]Mixtures!$D$3</f>
        <v>23187573.155087795</v>
      </c>
      <c r="Q45" s="37"/>
    </row>
    <row r="46" spans="1:17" x14ac:dyDescent="0.2">
      <c r="A46" s="75"/>
      <c r="B46" s="41">
        <f>0.5*((101^2+0.004567*('Conveying system input data'!$E$26^1.85)*'Pipe line section data'!F61*('Conveying system input data'!$B$7^-5))^0.5-101)</f>
        <v>1.0807308302319996</v>
      </c>
      <c r="C46" s="41">
        <f>'Conveying system input data'!$B$26*N46*0.8/'Conveying system input data'!$B$8</f>
        <v>2777.2535837895871</v>
      </c>
      <c r="D46" s="41">
        <f>'Conveying system input data'!$H$26*'Conveying system input data'!$F$26*L46*N46^2*'Pipe line section data'!F63/(2*'Conveying system input data'!$B$7)</f>
        <v>217.26186924314973</v>
      </c>
      <c r="E46" s="41"/>
      <c r="F46" s="41"/>
      <c r="G46" s="41"/>
      <c r="H46" s="41">
        <f t="shared" si="4"/>
        <v>2995.5961838629687</v>
      </c>
      <c r="I46" s="41">
        <v>25</v>
      </c>
      <c r="J46" s="52">
        <f t="shared" si="9"/>
        <v>108807.84276879208</v>
      </c>
      <c r="K46" s="41">
        <f t="shared" si="0"/>
        <v>105812.2465849291</v>
      </c>
      <c r="L46" s="52">
        <f t="shared" si="10"/>
        <v>1.2290608852925888</v>
      </c>
      <c r="M46" s="41">
        <f t="shared" si="1"/>
        <v>1.1952235257417594</v>
      </c>
      <c r="N46" s="50">
        <f t="shared" si="11"/>
        <v>55.21288718243224</v>
      </c>
      <c r="O46" s="41">
        <f t="shared" si="2"/>
        <v>56.775990882446756</v>
      </c>
      <c r="P46" s="43">
        <f>N46*L46*'pressure drop calculations'!$B$7/[1]Mixtures!$D$3</f>
        <v>23187573.155087795</v>
      </c>
      <c r="Q46" s="37"/>
    </row>
    <row r="47" spans="1:17" x14ac:dyDescent="0.2">
      <c r="A47" s="75"/>
      <c r="B47" s="41">
        <f>0.5*((101^2+0.004567*('Conveying system input data'!$E$26^1.85)*'Pipe line section data'!F62*('Conveying system input data'!$B$7^-5))^0.5-101)</f>
        <v>1.0807308302319996</v>
      </c>
      <c r="C47" s="41">
        <f>'Conveying system input data'!$B$26*N47*0.8/'Conveying system input data'!$B$8</f>
        <v>2855.8789840218969</v>
      </c>
      <c r="D47" s="41">
        <f>'Conveying system input data'!$H$26*'Conveying system input data'!$F$26*L47*N47^2*'Pipe line section data'!F64/(2*'Conveying system input data'!$B$7)</f>
        <v>223.41265847038099</v>
      </c>
      <c r="E47" s="41"/>
      <c r="F47" s="41"/>
      <c r="G47" s="41"/>
      <c r="H47" s="41">
        <f t="shared" si="4"/>
        <v>3080.3723733225097</v>
      </c>
      <c r="I47" s="41">
        <v>25</v>
      </c>
      <c r="J47" s="52">
        <f t="shared" si="9"/>
        <v>105812.2465849291</v>
      </c>
      <c r="K47" s="41">
        <f t="shared" si="0"/>
        <v>102731.8742116066</v>
      </c>
      <c r="L47" s="52">
        <f t="shared" si="10"/>
        <v>1.1952235257417594</v>
      </c>
      <c r="M47" s="41">
        <f t="shared" si="1"/>
        <v>1.1604285596819006</v>
      </c>
      <c r="N47" s="50">
        <f t="shared" si="11"/>
        <v>56.775990882446756</v>
      </c>
      <c r="O47" s="41">
        <f t="shared" si="2"/>
        <v>58.478395273727095</v>
      </c>
      <c r="P47" s="43">
        <f>N47*L47*'pressure drop calculations'!$B$7/[1]Mixtures!$D$3</f>
        <v>23187573.155087795</v>
      </c>
      <c r="Q47" s="37"/>
    </row>
    <row r="48" spans="1:17" x14ac:dyDescent="0.2">
      <c r="A48" s="75"/>
      <c r="B48" s="41">
        <f>0.5*((101^2+0.004567*('Conveying system input data'!$E$26^1.85)*'Pipe line section data'!F63*('Conveying system input data'!$B$7^-5))^0.5-101)</f>
        <v>1.0807308302319996</v>
      </c>
      <c r="C48" s="41">
        <f>'Conveying system input data'!$B$26*N48*0.8/'Conveying system input data'!$B$8</f>
        <v>2941.5113234632367</v>
      </c>
      <c r="D48" s="41">
        <f>'Conveying system input data'!$H$26*'Conveying system input data'!$F$26*L48*N48^2*'Pipe line section data'!F65/(2*'Conveying system input data'!$B$7)</f>
        <v>230.11159379385376</v>
      </c>
      <c r="E48" s="41"/>
      <c r="F48" s="41"/>
      <c r="G48" s="41"/>
      <c r="H48" s="41">
        <f t="shared" si="4"/>
        <v>3172.7036480873226</v>
      </c>
      <c r="I48" s="41">
        <v>25</v>
      </c>
      <c r="J48" s="52">
        <f t="shared" si="9"/>
        <v>102731.8742116066</v>
      </c>
      <c r="K48" s="41">
        <f t="shared" si="0"/>
        <v>99559.170563519277</v>
      </c>
      <c r="L48" s="52">
        <f t="shared" si="10"/>
        <v>1.1604285596819006</v>
      </c>
      <c r="M48" s="41">
        <f t="shared" si="1"/>
        <v>1.1245906471265048</v>
      </c>
      <c r="N48" s="50">
        <f t="shared" si="11"/>
        <v>58.478395273727095</v>
      </c>
      <c r="O48" s="41">
        <f t="shared" si="2"/>
        <v>60.341956580727683</v>
      </c>
      <c r="P48" s="43">
        <f>N48*L48*'pressure drop calculations'!$B$7/[1]Mixtures!$D$3</f>
        <v>23187573.155087795</v>
      </c>
      <c r="Q48" s="37"/>
    </row>
    <row r="49" spans="1:17" x14ac:dyDescent="0.2">
      <c r="A49" s="75">
        <v>14</v>
      </c>
      <c r="B49" s="41">
        <f>0.5*((101^2+0.004567*('Conveying system input data'!$E$26^1.85)*'Pipe line section data'!F64*('Conveying system input data'!$B$7^-5))^0.5-101)</f>
        <v>1.0807308302319996</v>
      </c>
      <c r="C49" s="41">
        <f>'Conveying system input data'!$B$26*N49*0.8/'Conveying system input data'!$B$8</f>
        <v>3035.2499881589997</v>
      </c>
      <c r="D49" s="41">
        <f>'Conveying system input data'!$H$26*'Conveying system input data'!$F$26*L49*N49^2*'Pipe line section data'!F66/(2*'Conveying system input data'!$B$7)</f>
        <v>1447.4627639372145</v>
      </c>
      <c r="E49" s="41"/>
      <c r="F49" s="41"/>
      <c r="G49" s="41"/>
      <c r="H49" s="41">
        <f t="shared" si="4"/>
        <v>4483.7934829264459</v>
      </c>
      <c r="I49" s="41">
        <v>25</v>
      </c>
      <c r="J49" s="52">
        <f t="shared" si="9"/>
        <v>99559.170563519277</v>
      </c>
      <c r="K49" s="41">
        <f t="shared" si="0"/>
        <v>95075.377080592836</v>
      </c>
      <c r="L49" s="52">
        <f t="shared" si="10"/>
        <v>1.1245906471265048</v>
      </c>
      <c r="M49" s="41">
        <f t="shared" si="1"/>
        <v>1.0739430554882363</v>
      </c>
      <c r="N49" s="50">
        <f t="shared" si="11"/>
        <v>60.341956580727683</v>
      </c>
      <c r="O49" s="41">
        <f t="shared" si="2"/>
        <v>63.187707814870564</v>
      </c>
      <c r="P49" s="43">
        <f>N49*L49*'pressure drop calculations'!$B$7/[1]Mixtures!$D$3</f>
        <v>23187573.155087795</v>
      </c>
      <c r="Q49" s="37"/>
    </row>
    <row r="50" spans="1:17" x14ac:dyDescent="0.2">
      <c r="A50" s="75">
        <v>15</v>
      </c>
      <c r="B50" s="41">
        <f>0.5*((101^2+0.004567*('Conveying system input data'!$E$26^1.85)*'Pipe line section data'!F65*('Conveying system input data'!$B$7^-5))^0.5-101)</f>
        <v>1.0807308302319996</v>
      </c>
      <c r="C50" s="41">
        <f>'Conveying system input data'!$B$26*N50*0.8/'Conveying system input data'!$B$8</f>
        <v>3178.3936130790826</v>
      </c>
      <c r="D50" s="41">
        <f>'Conveying system input data'!$H$26*'Conveying system input data'!$F$26*L50*N50^2*'Pipe line section data'!F67/(2*'Conveying system input data'!$B$7)</f>
        <v>248.64266684131775</v>
      </c>
      <c r="E50" s="41"/>
      <c r="F50" s="41"/>
      <c r="G50" s="41"/>
      <c r="H50" s="41">
        <f t="shared" si="4"/>
        <v>3428.1170107506323</v>
      </c>
      <c r="I50" s="41">
        <v>25</v>
      </c>
      <c r="J50" s="52">
        <f t="shared" si="9"/>
        <v>95075.377080592836</v>
      </c>
      <c r="K50" s="41">
        <f t="shared" si="0"/>
        <v>91647.260069842203</v>
      </c>
      <c r="L50" s="52">
        <f t="shared" si="10"/>
        <v>1.0739430554882363</v>
      </c>
      <c r="M50" s="41">
        <f t="shared" si="1"/>
        <v>1.0352200698935963</v>
      </c>
      <c r="N50" s="50">
        <f t="shared" si="11"/>
        <v>63.187707814870564</v>
      </c>
      <c r="O50" s="41">
        <f t="shared" si="2"/>
        <v>65.551279359349067</v>
      </c>
      <c r="P50" s="43">
        <f>N50*L50*'pressure drop calculations'!$B$7/[1]Mixtures!$D$3</f>
        <v>23187573.155087795</v>
      </c>
      <c r="Q50" s="37"/>
    </row>
    <row r="51" spans="1:17" x14ac:dyDescent="0.2">
      <c r="A51" s="75"/>
      <c r="B51" s="41">
        <f>0.5*((101^2+0.004567*('Conveying system input data'!$E$26^1.85)*'Pipe line section data'!F66*('Conveying system input data'!$B$7^-5))^0.5-101)</f>
        <v>6.2694605400759045</v>
      </c>
      <c r="C51" s="41">
        <f>'Conveying system input data'!$B$26*N51*0.8/'Conveying system input data'!$B$8</f>
        <v>3297.2832034885955</v>
      </c>
      <c r="D51" s="41">
        <f>'Conveying system input data'!$H$26*'Conveying system input data'!$F$26*L51*N51^2*'Pipe line section data'!F68/(2*'Conveying system input data'!$B$7)</f>
        <v>257.9432848319434</v>
      </c>
      <c r="E51" s="41"/>
      <c r="F51" s="41"/>
      <c r="G51" s="41"/>
      <c r="H51" s="41">
        <f t="shared" si="4"/>
        <v>3561.495948860615</v>
      </c>
      <c r="I51" s="41">
        <v>25</v>
      </c>
      <c r="J51" s="52">
        <f t="shared" si="9"/>
        <v>91647.260069842203</v>
      </c>
      <c r="K51" s="41">
        <f t="shared" si="0"/>
        <v>88085.764120981592</v>
      </c>
      <c r="L51" s="52">
        <f t="shared" si="10"/>
        <v>1.0352200698935963</v>
      </c>
      <c r="M51" s="41">
        <f t="shared" si="1"/>
        <v>0.99499047566136822</v>
      </c>
      <c r="N51" s="50">
        <f t="shared" si="11"/>
        <v>65.551279359349067</v>
      </c>
      <c r="O51" s="41">
        <f t="shared" si="2"/>
        <v>68.201657865009807</v>
      </c>
      <c r="P51" s="43">
        <f>N51*L51*'pressure drop calculations'!$B$7/[1]Mixtures!$D$3</f>
        <v>23187573.155087795</v>
      </c>
      <c r="Q51" s="37"/>
    </row>
    <row r="52" spans="1:17" x14ac:dyDescent="0.2">
      <c r="A52" s="75"/>
      <c r="B52" s="41">
        <f>0.5*((101^2+0.004567*('Conveying system input data'!$E$26^1.85)*'Pipe line section data'!F67*('Conveying system input data'!$B$7^-5))^0.5-101)</f>
        <v>1.0807308302319996</v>
      </c>
      <c r="C52" s="41">
        <f>'Conveying system input data'!$B$26*N52*0.8/'Conveying system input data'!$B$8</f>
        <v>3430.5994196633451</v>
      </c>
      <c r="D52" s="41">
        <f>'Conveying system input data'!$H$26*'Conveying system input data'!$F$26*L52*N52^2*'Pipe line section data'!F69/(2*'Conveying system input data'!$B$7)</f>
        <v>268.37248384193362</v>
      </c>
      <c r="E52" s="41"/>
      <c r="F52" s="41"/>
      <c r="G52" s="41"/>
      <c r="H52" s="41">
        <f t="shared" si="4"/>
        <v>3700.0526343355104</v>
      </c>
      <c r="I52" s="41">
        <v>25</v>
      </c>
      <c r="J52" s="52">
        <f t="shared" si="9"/>
        <v>88085.764120981592</v>
      </c>
      <c r="K52" s="41">
        <f t="shared" si="0"/>
        <v>84385.711486646076</v>
      </c>
      <c r="L52" s="52">
        <f t="shared" si="10"/>
        <v>0.99499047566136822</v>
      </c>
      <c r="M52" s="41">
        <f t="shared" si="1"/>
        <v>0.95319578650418257</v>
      </c>
      <c r="N52" s="50">
        <f t="shared" si="11"/>
        <v>68.201657865009807</v>
      </c>
      <c r="O52" s="41">
        <f t="shared" si="2"/>
        <v>71.192089768749966</v>
      </c>
      <c r="P52" s="43">
        <f>N52*L52*'pressure drop calculations'!$B$7/[1]Mixtures!$D$3</f>
        <v>23187573.155087795</v>
      </c>
      <c r="Q52" s="37"/>
    </row>
    <row r="53" spans="1:17" x14ac:dyDescent="0.2">
      <c r="A53" s="75"/>
      <c r="B53" s="41">
        <f>0.5*((101^2+0.004567*('Conveying system input data'!$E$26^1.85)*'Pipe line section data'!F68*('Conveying system input data'!$B$7^-5))^0.5-101)</f>
        <v>1.0807308302319996</v>
      </c>
      <c r="C53" s="41">
        <f>'Conveying system input data'!$B$26*N53*0.8/'Conveying system input data'!$B$8</f>
        <v>3581.0206011222931</v>
      </c>
      <c r="D53" s="41">
        <f>'Conveying system input data'!$H$26*'Conveying system input data'!$F$26*L53*N53^2*'Pipe line section data'!F70/(2*'Conveying system input data'!$B$7)</f>
        <v>140.06989389432039</v>
      </c>
      <c r="E53" s="41"/>
      <c r="F53" s="41"/>
      <c r="G53" s="41"/>
      <c r="H53" s="41">
        <f t="shared" si="4"/>
        <v>3722.1712258468456</v>
      </c>
      <c r="I53" s="41">
        <v>25</v>
      </c>
      <c r="J53" s="52">
        <f t="shared" si="9"/>
        <v>84385.711486646076</v>
      </c>
      <c r="K53" s="41">
        <f t="shared" si="0"/>
        <v>80663.540260799229</v>
      </c>
      <c r="L53" s="52">
        <f t="shared" si="10"/>
        <v>0.95319578650418257</v>
      </c>
      <c r="M53" s="41">
        <f t="shared" si="1"/>
        <v>0.9111512523452715</v>
      </c>
      <c r="N53" s="50">
        <f t="shared" si="11"/>
        <v>71.192089768749966</v>
      </c>
      <c r="O53" s="41">
        <f t="shared" si="2"/>
        <v>74.477206528916824</v>
      </c>
      <c r="P53" s="43">
        <f>N53*L53*'pressure drop calculations'!$B$7/[1]Mixtures!$D$3</f>
        <v>23187573.155087795</v>
      </c>
      <c r="Q53" s="37"/>
    </row>
    <row r="54" spans="1:17" x14ac:dyDescent="0.2">
      <c r="A54" s="85" t="s">
        <v>52</v>
      </c>
      <c r="B54" s="53"/>
      <c r="C54" s="53"/>
      <c r="D54" s="53"/>
      <c r="E54" s="53"/>
      <c r="F54" s="53"/>
      <c r="G54" s="53"/>
      <c r="H54" s="54">
        <f>SUM(H4:H53)</f>
        <v>119336.4597392008</v>
      </c>
      <c r="I54" s="53"/>
      <c r="J54" s="53"/>
      <c r="K54" s="53">
        <f>J4-K53</f>
        <v>119336.45973920077</v>
      </c>
      <c r="L54" s="53"/>
      <c r="M54" s="53"/>
      <c r="N54" s="53"/>
      <c r="O54" s="53"/>
      <c r="P54" s="54" t="s">
        <v>80</v>
      </c>
      <c r="Q54" s="55" t="s">
        <v>81</v>
      </c>
    </row>
    <row r="56" spans="1:17" x14ac:dyDescent="0.2">
      <c r="B56" s="34" t="s">
        <v>63</v>
      </c>
      <c r="C56" s="88"/>
    </row>
    <row r="57" spans="1:17" x14ac:dyDescent="0.2">
      <c r="B57" s="34" t="s">
        <v>64</v>
      </c>
      <c r="C57" s="87"/>
    </row>
    <row r="58" spans="1:17" x14ac:dyDescent="0.2">
      <c r="B58" s="34" t="s">
        <v>78</v>
      </c>
      <c r="C58" s="89"/>
    </row>
  </sheetData>
  <mergeCells count="2">
    <mergeCell ref="A2:A3"/>
    <mergeCell ref="B2:H2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9B2B9-C689-EB41-AA63-E0246B916615}">
  <dimension ref="A1:Q58"/>
  <sheetViews>
    <sheetView topLeftCell="E1" zoomScale="83" workbookViewId="0">
      <selection activeCell="N5" sqref="N5"/>
    </sheetView>
  </sheetViews>
  <sheetFormatPr baseColWidth="10" defaultRowHeight="16" x14ac:dyDescent="0.2"/>
  <cols>
    <col min="1" max="1" width="10.83203125" style="86"/>
    <col min="2" max="2" width="15.33203125" style="34" customWidth="1"/>
    <col min="3" max="3" width="11.83203125" style="34" customWidth="1"/>
    <col min="4" max="7" width="10.83203125" style="34"/>
    <col min="8" max="8" width="18.6640625" style="34" customWidth="1"/>
    <col min="9" max="9" width="12" style="34" customWidth="1"/>
    <col min="10" max="15" width="10.83203125" style="34"/>
    <col min="16" max="16" width="12.6640625" style="34" customWidth="1"/>
    <col min="17" max="16384" width="10.83203125" style="34"/>
  </cols>
  <sheetData>
    <row r="1" spans="1:17" x14ac:dyDescent="0.2">
      <c r="A1" s="74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7"/>
    </row>
    <row r="2" spans="1:17" s="35" customFormat="1" ht="68" customHeight="1" x14ac:dyDescent="0.2">
      <c r="A2" s="147" t="s">
        <v>36</v>
      </c>
      <c r="B2" s="148" t="s">
        <v>51</v>
      </c>
      <c r="C2" s="148"/>
      <c r="D2" s="148"/>
      <c r="E2" s="148"/>
      <c r="F2" s="148"/>
      <c r="G2" s="148"/>
      <c r="H2" s="148"/>
      <c r="I2" s="38" t="s">
        <v>44</v>
      </c>
      <c r="J2" s="38" t="s">
        <v>47</v>
      </c>
      <c r="K2" s="38" t="s">
        <v>48</v>
      </c>
      <c r="L2" s="38" t="s">
        <v>45</v>
      </c>
      <c r="M2" s="38" t="s">
        <v>46</v>
      </c>
      <c r="N2" s="38" t="s">
        <v>49</v>
      </c>
      <c r="O2" s="38" t="s">
        <v>50</v>
      </c>
      <c r="P2" s="39" t="s">
        <v>79</v>
      </c>
      <c r="Q2" s="40"/>
    </row>
    <row r="3" spans="1:17" s="35" customFormat="1" ht="44" customHeight="1" x14ac:dyDescent="0.2">
      <c r="A3" s="147"/>
      <c r="B3" s="38" t="s">
        <v>37</v>
      </c>
      <c r="C3" s="38" t="s">
        <v>38</v>
      </c>
      <c r="D3" s="38" t="s">
        <v>39</v>
      </c>
      <c r="E3" s="38" t="s">
        <v>40</v>
      </c>
      <c r="F3" s="38" t="s">
        <v>41</v>
      </c>
      <c r="G3" s="38" t="s">
        <v>42</v>
      </c>
      <c r="H3" s="38" t="s">
        <v>43</v>
      </c>
      <c r="I3" s="38" t="s">
        <v>23</v>
      </c>
      <c r="J3" s="38" t="s">
        <v>12</v>
      </c>
      <c r="K3" s="38" t="s">
        <v>12</v>
      </c>
      <c r="L3" s="38" t="s">
        <v>6</v>
      </c>
      <c r="M3" s="38" t="s">
        <v>6</v>
      </c>
      <c r="N3" s="38" t="s">
        <v>7</v>
      </c>
      <c r="O3" s="38" t="s">
        <v>7</v>
      </c>
      <c r="P3" s="39"/>
      <c r="Q3" s="40"/>
    </row>
    <row r="4" spans="1:17" x14ac:dyDescent="0.2">
      <c r="A4" s="75">
        <v>1</v>
      </c>
      <c r="B4" s="41">
        <f>0.5*((101^2+0.004567*('Conveying system input data'!$E$26^1.85)*'Pipe line section data'!F21*('Conveying system input data'!$B$7^-5))^0.5-101)</f>
        <v>1.0807308302319996</v>
      </c>
      <c r="C4" s="41">
        <f>'Conveying system input data'!$B$26*N4*0.8/'Conveying system input data'!$B$8</f>
        <v>1509.0246456120449</v>
      </c>
      <c r="D4" s="41">
        <f>'Conveying system input data'!$H$26*'Conveying system input data'!$F$26*L4*N4^2*'Pipe line section data'!F21/(2*'Conveying system input data'!$B$7)</f>
        <v>122.12021647869217</v>
      </c>
      <c r="E4" s="41"/>
      <c r="F4" s="41"/>
      <c r="G4" s="41"/>
      <c r="H4" s="41">
        <f>SUM(B4:G4)</f>
        <v>1632.2255929209689</v>
      </c>
      <c r="I4" s="41">
        <v>25</v>
      </c>
      <c r="J4" s="42">
        <v>200000</v>
      </c>
      <c r="K4" s="41">
        <f t="shared" ref="K4:K53" si="0">J4-H4</f>
        <v>198367.77440707904</v>
      </c>
      <c r="L4" s="42">
        <v>2.34</v>
      </c>
      <c r="M4" s="41">
        <f t="shared" ref="M4:M53" si="1">28*K4/8.314/(25+273.15)/1000</f>
        <v>2.2407031168180906</v>
      </c>
      <c r="N4" s="42">
        <v>30</v>
      </c>
      <c r="O4" s="41">
        <f t="shared" ref="O4:O53" si="2">N4*L4/M4</f>
        <v>31.329451667692357</v>
      </c>
      <c r="P4" s="43">
        <f>N4*L4*'pressure drop calculations'!$B$7/[1]Mixtures!$D$3</f>
        <v>23987144.643194269</v>
      </c>
      <c r="Q4" s="37"/>
    </row>
    <row r="5" spans="1:17" x14ac:dyDescent="0.2">
      <c r="A5" s="75"/>
      <c r="B5" s="41">
        <f>0.5*((101^2+0.004567*('Conveying system input data'!$E$26^1.85)*'Pipe line section data'!F22*('Conveying system input data'!$B$7^-5))^0.5-101)</f>
        <v>1.0807308302319996</v>
      </c>
      <c r="C5" s="41">
        <f>'Conveying system input data'!$B$26*N5*0.8/'Conveying system input data'!$B$8</f>
        <v>1575.897156668638</v>
      </c>
      <c r="D5" s="41">
        <f>'Conveying system input data'!$H$26*'Conveying system input data'!$F$26*L5*N5^2*'Pipe line section data'!F22/(2*'Conveying system input data'!$B$7)</f>
        <v>127.53198066057713</v>
      </c>
      <c r="E5" s="41"/>
      <c r="F5" s="41"/>
      <c r="G5" s="41"/>
      <c r="H5" s="41">
        <f t="shared" ref="H5:H6" si="3">SUM(B5:G5)</f>
        <v>1704.509868159447</v>
      </c>
      <c r="I5" s="41">
        <v>25</v>
      </c>
      <c r="J5" s="41">
        <f>K4</f>
        <v>198367.77440707904</v>
      </c>
      <c r="K5" s="41">
        <f t="shared" si="0"/>
        <v>196663.26453891958</v>
      </c>
      <c r="L5" s="41">
        <f>M4</f>
        <v>2.2407031168180906</v>
      </c>
      <c r="M5" s="41">
        <f t="shared" si="1"/>
        <v>2.2214494825740809</v>
      </c>
      <c r="N5" s="41">
        <f>O4</f>
        <v>31.329451667692357</v>
      </c>
      <c r="O5" s="41">
        <f t="shared" si="2"/>
        <v>31.600988701600581</v>
      </c>
      <c r="P5" s="43">
        <f>N5*L5*'pressure drop calculations'!$B$7/[1]Mixtures!$D$3</f>
        <v>23987144.643194269</v>
      </c>
      <c r="Q5" s="37"/>
    </row>
    <row r="6" spans="1:17" x14ac:dyDescent="0.2">
      <c r="A6" s="75"/>
      <c r="B6" s="41">
        <f>0.5*((101^2+0.004567*('Conveying system input data'!$E$26^1.85)*'Pipe line section data'!F23*('Conveying system input data'!$B$7^-5))^0.5-101)</f>
        <v>1.0807308302319996</v>
      </c>
      <c r="C6" s="41">
        <f>'Conveying system input data'!$B$26*N6*0.8/'Conveying system input data'!$B$8</f>
        <v>1589.5556925474348</v>
      </c>
      <c r="D6" s="41">
        <f>'Conveying system input data'!$H$26*'Conveying system input data'!$F$26*L6*N6^2*'Pipe line section data'!F23/(2*'Conveying system input data'!$B$7)</f>
        <v>128.63731937267229</v>
      </c>
      <c r="E6" s="41"/>
      <c r="F6" s="41"/>
      <c r="G6" s="41"/>
      <c r="H6" s="41">
        <f t="shared" si="3"/>
        <v>1719.2737427503389</v>
      </c>
      <c r="I6" s="41">
        <v>25</v>
      </c>
      <c r="J6" s="41">
        <f>K5</f>
        <v>196663.26453891958</v>
      </c>
      <c r="K6" s="41">
        <f t="shared" si="0"/>
        <v>194943.99079616924</v>
      </c>
      <c r="L6" s="41">
        <f>M5</f>
        <v>2.2214494825740809</v>
      </c>
      <c r="M6" s="41">
        <f t="shared" si="1"/>
        <v>2.2020290800134381</v>
      </c>
      <c r="N6" s="41">
        <f>O5</f>
        <v>31.600988701600581</v>
      </c>
      <c r="O6" s="41">
        <f t="shared" si="2"/>
        <v>31.879687982854243</v>
      </c>
      <c r="P6" s="43">
        <f>N6*L6*'pressure drop calculations'!$B$7/[1]Mixtures!$D$3</f>
        <v>23987144.643194269</v>
      </c>
      <c r="Q6" s="37"/>
    </row>
    <row r="7" spans="1:17" x14ac:dyDescent="0.2">
      <c r="A7" s="76">
        <v>2</v>
      </c>
      <c r="B7" s="44">
        <f>0.5*((101^2+0.004567*('Conveying system input data'!$E$26^1.85)*'Pipe line section data'!F24*('Conveying system input data'!$B$7^-5))^0.5-101)</f>
        <v>6.2694605400759045</v>
      </c>
      <c r="C7" s="44">
        <f>'Conveying system input data'!$B$26*N7*0.8/'Conveying system input data'!$B$8</f>
        <v>1603.5744953516394</v>
      </c>
      <c r="D7" s="44">
        <f>'Conveying system input data'!$H$26*'Conveying system input data'!$F$26*L7*N7^2*'Pipe line section data'!F24/(2*'Conveying system input data'!$B$7)</f>
        <v>791.0889736206301</v>
      </c>
      <c r="E7" s="44"/>
      <c r="F7" s="44"/>
      <c r="G7" s="44"/>
      <c r="H7" s="44">
        <f t="shared" ref="H7:H53" si="4">SUM(B7:G7)</f>
        <v>2400.9329295123453</v>
      </c>
      <c r="I7" s="44">
        <v>25</v>
      </c>
      <c r="J7" s="44">
        <f>K6</f>
        <v>194943.99079616924</v>
      </c>
      <c r="K7" s="41">
        <f t="shared" si="0"/>
        <v>192543.05786665689</v>
      </c>
      <c r="L7" s="44">
        <f>M6</f>
        <v>2.2020290800134381</v>
      </c>
      <c r="M7" s="41">
        <f t="shared" si="1"/>
        <v>2.1749088589265724</v>
      </c>
      <c r="N7" s="44">
        <f>O6</f>
        <v>31.879687982854243</v>
      </c>
      <c r="O7" s="41">
        <f t="shared" si="2"/>
        <v>32.277214611488247</v>
      </c>
      <c r="P7" s="43">
        <f>N7*L7*'pressure drop calculations'!$B$7/[1]Mixtures!$D$3</f>
        <v>23987144.643194269</v>
      </c>
      <c r="Q7" s="37"/>
    </row>
    <row r="8" spans="1:17" x14ac:dyDescent="0.2">
      <c r="A8" s="77">
        <f>A7+1</f>
        <v>3</v>
      </c>
      <c r="B8" s="45">
        <f>0.5*((101^2+0.004567*('Conveying system input data'!$E$26^1.85)*'Pipe line section data'!F25*('Conveying system input data'!$B$7^-5))^0.5-101)</f>
        <v>1.0807308302319996</v>
      </c>
      <c r="C8" s="45">
        <f>'Conveying system input data'!$B$26*N8*0.8/'Conveying system input data'!$B$8</f>
        <v>1623.5704113481656</v>
      </c>
      <c r="D8" s="45">
        <f>'Conveying system input data'!$H$26*'Conveying system input data'!$F$26*L8*N8^2*'Pipe line section data'!F25/(2*'Conveying system input data'!$B$7)</f>
        <v>131.39001452280502</v>
      </c>
      <c r="E8" s="45"/>
      <c r="F8" s="45"/>
      <c r="G8" s="45"/>
      <c r="H8" s="45">
        <f t="shared" si="4"/>
        <v>1756.0411567012025</v>
      </c>
      <c r="I8" s="45">
        <v>25</v>
      </c>
      <c r="J8" s="45">
        <f>K7</f>
        <v>192543.05786665689</v>
      </c>
      <c r="K8" s="41">
        <f t="shared" si="0"/>
        <v>190787.0167099557</v>
      </c>
      <c r="L8" s="45">
        <f>M7</f>
        <v>2.1749088589265724</v>
      </c>
      <c r="M8" s="41">
        <f t="shared" si="1"/>
        <v>2.1550731426423013</v>
      </c>
      <c r="N8" s="45">
        <f>O7</f>
        <v>32.277214611488247</v>
      </c>
      <c r="O8" s="41">
        <f t="shared" si="2"/>
        <v>32.574300431366737</v>
      </c>
      <c r="P8" s="43">
        <f>N8*L8*'pressure drop calculations'!$B$7/[1]Mixtures!$D$3</f>
        <v>23987144.643194269</v>
      </c>
      <c r="Q8" s="37"/>
    </row>
    <row r="9" spans="1:17" x14ac:dyDescent="0.2">
      <c r="A9" s="77"/>
      <c r="B9" s="45">
        <f>0.5*((101^2+0.004567*('Conveying system input data'!$E$26^1.85)*'Pipe line section data'!F26*('Conveying system input data'!$B$7^-5))^0.5-101)</f>
        <v>1.0807308302319996</v>
      </c>
      <c r="C9" s="45">
        <f>'Conveying system input data'!$B$26*N9*0.8/'Conveying system input data'!$B$8</f>
        <v>1638.5140721501155</v>
      </c>
      <c r="D9" s="45">
        <f>'Conveying system input data'!$H$26*'Conveying system input data'!$F$26*L9*N9^2*'Pipe line section data'!F26/(2*'Conveying system input data'!$B$7)</f>
        <v>132.59935401068205</v>
      </c>
      <c r="E9" s="45"/>
      <c r="F9" s="45"/>
      <c r="G9" s="45"/>
      <c r="H9" s="45">
        <f t="shared" si="4"/>
        <v>1772.1941569910293</v>
      </c>
      <c r="I9" s="45">
        <v>25</v>
      </c>
      <c r="J9" s="45">
        <f t="shared" ref="J9:J53" si="5">K8</f>
        <v>190787.0167099557</v>
      </c>
      <c r="K9" s="41">
        <f t="shared" si="0"/>
        <v>189014.82255296467</v>
      </c>
      <c r="L9" s="45">
        <f t="shared" ref="L9:L53" si="6">M8</f>
        <v>2.1550731426423013</v>
      </c>
      <c r="M9" s="41">
        <f t="shared" si="1"/>
        <v>2.1350549668925058</v>
      </c>
      <c r="N9" s="45">
        <f t="shared" ref="N9:N53" si="7">O8</f>
        <v>32.574300431366737</v>
      </c>
      <c r="O9" s="41">
        <f t="shared" si="2"/>
        <v>32.879715552322999</v>
      </c>
      <c r="P9" s="43">
        <f>N9*L9*'pressure drop calculations'!$B$7/[1]Mixtures!$D$3</f>
        <v>23987144.643194269</v>
      </c>
      <c r="Q9" s="37"/>
    </row>
    <row r="10" spans="1:17" x14ac:dyDescent="0.2">
      <c r="A10" s="77"/>
      <c r="B10" s="45">
        <f>0.5*((101^2+0.004567*('Conveying system input data'!$E$26^1.85)*'Pipe line section data'!F27*('Conveying system input data'!$B$7^-5))^0.5-101)</f>
        <v>1.0807308302319996</v>
      </c>
      <c r="C10" s="45">
        <f>'Conveying system input data'!$B$26*N10*0.8/'Conveying system input data'!$B$8</f>
        <v>1653.8767036389684</v>
      </c>
      <c r="D10" s="45">
        <f>'Conveying system input data'!$H$26*'Conveying system input data'!$F$26*L10*N10^2*'Pipe line section data'!F27/(2*'Conveying system input data'!$B$7)</f>
        <v>133.84259936691686</v>
      </c>
      <c r="E10" s="45"/>
      <c r="F10" s="45"/>
      <c r="G10" s="45"/>
      <c r="H10" s="45">
        <f t="shared" si="4"/>
        <v>1788.8000338361171</v>
      </c>
      <c r="I10" s="45">
        <v>25</v>
      </c>
      <c r="J10" s="45">
        <f t="shared" si="5"/>
        <v>189014.82255296467</v>
      </c>
      <c r="K10" s="41">
        <f t="shared" si="0"/>
        <v>187226.02251912854</v>
      </c>
      <c r="L10" s="45">
        <f t="shared" si="6"/>
        <v>2.1350549668925058</v>
      </c>
      <c r="M10" s="41">
        <f t="shared" si="1"/>
        <v>2.114849216118917</v>
      </c>
      <c r="N10" s="45">
        <f t="shared" si="7"/>
        <v>32.879715552322999</v>
      </c>
      <c r="O10" s="41">
        <f t="shared" si="2"/>
        <v>33.193855838492404</v>
      </c>
      <c r="P10" s="43">
        <f>N10*L10*'pressure drop calculations'!$B$7/[1]Mixtures!$D$3</f>
        <v>23987144.643194269</v>
      </c>
      <c r="Q10" s="37"/>
    </row>
    <row r="11" spans="1:17" x14ac:dyDescent="0.2">
      <c r="A11" s="77"/>
      <c r="B11" s="45">
        <f>0.5*((101^2+0.004567*('Conveying system input data'!$E$26^1.85)*'Pipe line section data'!F28*('Conveying system input data'!$B$7^-5))^0.5-101)</f>
        <v>1.0807308302319996</v>
      </c>
      <c r="C11" s="45">
        <f>'Conveying system input data'!$B$26*N11*0.8/'Conveying system input data'!$B$8</f>
        <v>1669.6782181059434</v>
      </c>
      <c r="D11" s="45">
        <f>'Conveying system input data'!$H$26*'Conveying system input data'!$F$26*L11*N11^2*'Pipe line section data'!F28/(2*'Conveying system input data'!$B$7)</f>
        <v>135.12136202530641</v>
      </c>
      <c r="E11" s="45"/>
      <c r="F11" s="45"/>
      <c r="G11" s="45"/>
      <c r="H11" s="45">
        <f t="shared" si="4"/>
        <v>1805.8803109614817</v>
      </c>
      <c r="I11" s="45">
        <v>25</v>
      </c>
      <c r="J11" s="45">
        <f t="shared" si="5"/>
        <v>187226.02251912854</v>
      </c>
      <c r="K11" s="41">
        <f t="shared" si="0"/>
        <v>185420.14220816706</v>
      </c>
      <c r="L11" s="45">
        <f t="shared" si="6"/>
        <v>2.114849216118917</v>
      </c>
      <c r="M11" s="41">
        <f t="shared" si="1"/>
        <v>2.0944505316376971</v>
      </c>
      <c r="N11" s="45">
        <f t="shared" si="7"/>
        <v>33.193855838492404</v>
      </c>
      <c r="O11" s="41">
        <f t="shared" si="2"/>
        <v>33.517143966684692</v>
      </c>
      <c r="P11" s="43">
        <f>N11*L11*'pressure drop calculations'!$B$7/[1]Mixtures!$D$3</f>
        <v>23987144.643194269</v>
      </c>
      <c r="Q11" s="37"/>
    </row>
    <row r="12" spans="1:17" x14ac:dyDescent="0.2">
      <c r="A12" s="77"/>
      <c r="B12" s="45">
        <f>0.5*((101^2+0.004567*('Conveying system input data'!$E$26^1.85)*'Pipe line section data'!F29*('Conveying system input data'!$B$7^-5))^0.5-101)</f>
        <v>1.0807308302319996</v>
      </c>
      <c r="C12" s="45">
        <f>'Conveying system input data'!$B$26*N12*0.8/'Conveying system input data'!$B$8</f>
        <v>1685.9398765418084</v>
      </c>
      <c r="D12" s="45">
        <f>'Conveying system input data'!$H$26*'Conveying system input data'!$F$26*L12*N12^2*'Pipe line section data'!F29/(2*'Conveying system input data'!$B$7)</f>
        <v>136.43736256530087</v>
      </c>
      <c r="E12" s="45"/>
      <c r="F12" s="45"/>
      <c r="G12" s="45"/>
      <c r="H12" s="45">
        <f t="shared" si="4"/>
        <v>1823.4579699373412</v>
      </c>
      <c r="I12" s="45">
        <v>25</v>
      </c>
      <c r="J12" s="45">
        <f t="shared" si="5"/>
        <v>185420.14220816706</v>
      </c>
      <c r="K12" s="41">
        <f t="shared" si="0"/>
        <v>183596.68423822973</v>
      </c>
      <c r="L12" s="45">
        <f t="shared" si="6"/>
        <v>2.0944505316376971</v>
      </c>
      <c r="M12" s="41">
        <f t="shared" si="1"/>
        <v>2.0738532951720572</v>
      </c>
      <c r="N12" s="45">
        <f t="shared" si="7"/>
        <v>33.517143966684692</v>
      </c>
      <c r="O12" s="41">
        <f t="shared" si="2"/>
        <v>33.850031804769415</v>
      </c>
      <c r="P12" s="43">
        <f>N12*L12*'pressure drop calculations'!$B$7/[1]Mixtures!$D$3</f>
        <v>23987144.643194269</v>
      </c>
      <c r="Q12" s="37"/>
    </row>
    <row r="13" spans="1:17" x14ac:dyDescent="0.2">
      <c r="A13" s="77"/>
      <c r="B13" s="45">
        <f>0.5*((101^2+0.004567*('Conveying system input data'!$E$26^1.85)*'Pipe line section data'!F30*('Conveying system input data'!$B$7^-5))^0.5-101)</f>
        <v>1.0807308302319996</v>
      </c>
      <c r="C13" s="45">
        <f>'Conveying system input data'!$B$26*N13*0.8/'Conveying system input data'!$B$8</f>
        <v>1702.6844082716207</v>
      </c>
      <c r="D13" s="45">
        <f>'Conveying system input data'!$H$26*'Conveying system input data'!$F$26*L13*N13^2*'Pipe line section data'!F30/(2*'Conveying system input data'!$B$7)</f>
        <v>137.79244039363516</v>
      </c>
      <c r="E13" s="45"/>
      <c r="F13" s="45"/>
      <c r="G13" s="45"/>
      <c r="H13" s="45">
        <f t="shared" si="4"/>
        <v>1841.5575794954877</v>
      </c>
      <c r="I13" s="45">
        <v>25</v>
      </c>
      <c r="J13" s="45">
        <f t="shared" si="5"/>
        <v>183596.68423822973</v>
      </c>
      <c r="K13" s="41">
        <f t="shared" si="0"/>
        <v>181755.12665873425</v>
      </c>
      <c r="L13" s="45">
        <f t="shared" si="6"/>
        <v>2.0738532951720572</v>
      </c>
      <c r="M13" s="41">
        <f t="shared" si="1"/>
        <v>2.0530516109241534</v>
      </c>
      <c r="N13" s="45">
        <f t="shared" si="7"/>
        <v>33.850031804769415</v>
      </c>
      <c r="O13" s="41">
        <f t="shared" si="2"/>
        <v>34.193003052855744</v>
      </c>
      <c r="P13" s="43">
        <f>N13*L13*'pressure drop calculations'!$B$7/[1]Mixtures!$D$3</f>
        <v>23987144.643194269</v>
      </c>
      <c r="Q13" s="37"/>
    </row>
    <row r="14" spans="1:17" x14ac:dyDescent="0.2">
      <c r="A14" s="77"/>
      <c r="B14" s="45">
        <f>0.5*((101^2+0.004567*('Conveying system input data'!$E$26^1.85)*'Pipe line section data'!F31*('Conveying system input data'!$B$7^-5))^0.5-101)</f>
        <v>1.0807308302319996</v>
      </c>
      <c r="C14" s="45">
        <f>'Conveying system input data'!$B$26*N14*0.8/'Conveying system input data'!$B$8</f>
        <v>1719.9361438082401</v>
      </c>
      <c r="D14" s="45">
        <f>'Conveying system input data'!$H$26*'Conveying system input data'!$F$26*L14*N14^2*'Pipe line section data'!F31/(2*'Conveying system input data'!$B$7)</f>
        <v>139.18856449571084</v>
      </c>
      <c r="E14" s="45"/>
      <c r="F14" s="45"/>
      <c r="G14" s="45"/>
      <c r="H14" s="45">
        <f t="shared" si="4"/>
        <v>1860.2054391341828</v>
      </c>
      <c r="I14" s="45">
        <v>25</v>
      </c>
      <c r="J14" s="45">
        <f t="shared" si="5"/>
        <v>181755.12665873425</v>
      </c>
      <c r="K14" s="41">
        <f t="shared" si="0"/>
        <v>179894.92121960007</v>
      </c>
      <c r="L14" s="45">
        <f t="shared" si="6"/>
        <v>2.0530516109241534</v>
      </c>
      <c r="M14" s="41">
        <f t="shared" si="1"/>
        <v>2.0320392860248666</v>
      </c>
      <c r="N14" s="45">
        <f t="shared" si="7"/>
        <v>34.193003052855744</v>
      </c>
      <c r="O14" s="41">
        <f t="shared" si="2"/>
        <v>34.546576182258384</v>
      </c>
      <c r="P14" s="43">
        <f>N14*L14*'pressure drop calculations'!$B$7/[1]Mixtures!$D$3</f>
        <v>23987144.643194269</v>
      </c>
      <c r="Q14" s="37"/>
    </row>
    <row r="15" spans="1:17" x14ac:dyDescent="0.2">
      <c r="A15" s="77"/>
      <c r="B15" s="45">
        <f>0.5*((101^2+0.004567*('Conveying system input data'!$E$26^1.85)*'Pipe line section data'!F32*('Conveying system input data'!$B$7^-5))^0.5-101)</f>
        <v>1.0807308302319996</v>
      </c>
      <c r="C15" s="45">
        <f>'Conveying system input data'!$B$26*N15*0.8/'Conveying system input data'!$B$8</f>
        <v>1737.7211626847322</v>
      </c>
      <c r="D15" s="45">
        <f>'Conveying system input data'!$H$26*'Conveying system input data'!$F$26*L15*N15^2*'Pipe line section data'!F32/(2*'Conveying system input data'!$B$7)</f>
        <v>140.62784539916748</v>
      </c>
      <c r="E15" s="45"/>
      <c r="F15" s="45"/>
      <c r="G15" s="45"/>
      <c r="H15" s="45">
        <f t="shared" si="4"/>
        <v>1879.4297389141316</v>
      </c>
      <c r="I15" s="45">
        <v>25</v>
      </c>
      <c r="J15" s="45">
        <f t="shared" si="5"/>
        <v>179894.92121960007</v>
      </c>
      <c r="K15" s="41">
        <f t="shared" si="0"/>
        <v>178015.49148068595</v>
      </c>
      <c r="L15" s="45">
        <f t="shared" si="6"/>
        <v>2.0320392860248666</v>
      </c>
      <c r="M15" s="41">
        <f t="shared" si="1"/>
        <v>2.0108098091785749</v>
      </c>
      <c r="N15" s="45">
        <f t="shared" si="7"/>
        <v>34.546576182258384</v>
      </c>
      <c r="O15" s="41">
        <f t="shared" si="2"/>
        <v>34.91130771272546</v>
      </c>
      <c r="P15" s="43">
        <f>N15*L15*'pressure drop calculations'!$B$7/[1]Mixtures!$D$3</f>
        <v>23987144.643194269</v>
      </c>
      <c r="Q15" s="37"/>
    </row>
    <row r="16" spans="1:17" x14ac:dyDescent="0.2">
      <c r="A16" s="77"/>
      <c r="B16" s="45">
        <f>0.5*((101^2+0.004567*('Conveying system input data'!$E$26^1.85)*'Pipe line section data'!F33*('Conveying system input data'!$B$7^-5))^0.5-101)</f>
        <v>1.0807308302319996</v>
      </c>
      <c r="C16" s="45">
        <f>'Conveying system input data'!$B$26*N16*0.8/'Conveying system input data'!$B$8</f>
        <v>1756.0674583016196</v>
      </c>
      <c r="D16" s="45">
        <f>'Conveying system input data'!$H$26*'Conveying system input data'!$F$26*L16*N16^2*'Pipe line section data'!F33/(2*'Conveying system input data'!$B$7)</f>
        <v>142.11254851440896</v>
      </c>
      <c r="E16" s="45"/>
      <c r="F16" s="45"/>
      <c r="G16" s="45"/>
      <c r="H16" s="45">
        <f t="shared" si="4"/>
        <v>1899.2607376462604</v>
      </c>
      <c r="I16" s="45">
        <v>25</v>
      </c>
      <c r="J16" s="45">
        <f t="shared" si="5"/>
        <v>178015.49148068595</v>
      </c>
      <c r="K16" s="41">
        <f t="shared" si="0"/>
        <v>176116.23074303969</v>
      </c>
      <c r="L16" s="45">
        <f t="shared" si="6"/>
        <v>2.0108098091785749</v>
      </c>
      <c r="M16" s="41">
        <f t="shared" si="1"/>
        <v>1.9893563272951671</v>
      </c>
      <c r="N16" s="45">
        <f t="shared" si="7"/>
        <v>34.91130771272546</v>
      </c>
      <c r="O16" s="41">
        <f t="shared" si="2"/>
        <v>35.287795874883599</v>
      </c>
      <c r="P16" s="43">
        <f>N16*L16*'pressure drop calculations'!$B$7/[1]Mixtures!$D$3</f>
        <v>23987144.643194269</v>
      </c>
      <c r="Q16" s="37"/>
    </row>
    <row r="17" spans="1:17" x14ac:dyDescent="0.2">
      <c r="A17" s="77"/>
      <c r="B17" s="45">
        <f>0.5*((101^2+0.004567*('Conveying system input data'!$E$26^1.85)*'Pipe line section data'!F34*('Conveying system input data'!$B$7^-5))^0.5-101)</f>
        <v>1.0807308302319996</v>
      </c>
      <c r="C17" s="45">
        <v>651.51342253896314</v>
      </c>
      <c r="D17" s="45">
        <f>'Conveying system input data'!$H$26*'Conveying system input data'!$F$26*L17*N17^2*'Pipe line section data'!F34/(2*'Conveying system input data'!$B$7)</f>
        <v>143.64510904322285</v>
      </c>
      <c r="E17" s="45"/>
      <c r="F17" s="45"/>
      <c r="G17" s="45"/>
      <c r="H17" s="45">
        <f t="shared" si="4"/>
        <v>796.23926241241804</v>
      </c>
      <c r="I17" s="45">
        <v>25</v>
      </c>
      <c r="J17" s="45">
        <f t="shared" si="5"/>
        <v>176116.23074303969</v>
      </c>
      <c r="K17" s="41">
        <f t="shared" si="0"/>
        <v>175319.99148062727</v>
      </c>
      <c r="L17" s="45">
        <f t="shared" si="6"/>
        <v>1.9893563272951671</v>
      </c>
      <c r="M17" s="41">
        <f t="shared" si="1"/>
        <v>1.9803622464654898</v>
      </c>
      <c r="N17" s="45">
        <f t="shared" si="7"/>
        <v>35.287795874883599</v>
      </c>
      <c r="O17" s="41">
        <f t="shared" si="2"/>
        <v>35.448060134094924</v>
      </c>
      <c r="P17" s="43">
        <f>N17*L17*'pressure drop calculations'!$B$7/[1]Mixtures!$D$3</f>
        <v>23987144.643194269</v>
      </c>
      <c r="Q17" s="37"/>
    </row>
    <row r="18" spans="1:17" x14ac:dyDescent="0.2">
      <c r="A18" s="77"/>
      <c r="B18" s="45">
        <f>0.5*((101^2+0.004567*('Conveying system input data'!$E$26^1.85)*'Pipe line section data'!F35*('Conveying system input data'!$B$7^-5))^0.5-101)</f>
        <v>0.54322576493792951</v>
      </c>
      <c r="C18" s="45">
        <f>'Conveying system input data'!$B$26*N18*0.8/'Conveying system input data'!$B$8</f>
        <v>1783.0665460495682</v>
      </c>
      <c r="D18" s="45">
        <f>'Conveying system input data'!$H$26*'Conveying system input data'!$F$26*L18*N18^2*'Pipe line section data'!F35/(2*'Conveying system input data'!$B$7)</f>
        <v>72.148746288756158</v>
      </c>
      <c r="E18" s="45"/>
      <c r="F18" s="45"/>
      <c r="G18" s="45"/>
      <c r="H18" s="45">
        <f t="shared" si="4"/>
        <v>1855.7585181032623</v>
      </c>
      <c r="I18" s="45">
        <v>25</v>
      </c>
      <c r="J18" s="45">
        <f t="shared" si="5"/>
        <v>175319.99148062727</v>
      </c>
      <c r="K18" s="41">
        <f t="shared" si="0"/>
        <v>173464.23296252402</v>
      </c>
      <c r="L18" s="45">
        <f t="shared" si="6"/>
        <v>1.9803622464654898</v>
      </c>
      <c r="M18" s="41">
        <f t="shared" si="1"/>
        <v>1.9594001526576397</v>
      </c>
      <c r="N18" s="45">
        <f t="shared" si="7"/>
        <v>35.448060134094924</v>
      </c>
      <c r="O18" s="41">
        <f t="shared" si="2"/>
        <v>35.82729127829451</v>
      </c>
      <c r="P18" s="43">
        <f>N18*L18*'pressure drop calculations'!$B$7/[1]Mixtures!$D$3</f>
        <v>23987144.643194269</v>
      </c>
      <c r="Q18" s="37"/>
    </row>
    <row r="19" spans="1:17" x14ac:dyDescent="0.2">
      <c r="A19" s="78">
        <f>A8+1</f>
        <v>4</v>
      </c>
      <c r="B19" s="46">
        <f>0.5*((101^2+0.004567*('Conveying system input data'!$E$26^1.85)*'Pipe line section data'!F36*('Conveying system input data'!$B$7^-5))^0.5-101)</f>
        <v>6.2694605400759045</v>
      </c>
      <c r="C19" s="46">
        <f>'Conveying system input data'!$B$26*N19*0.8/'Conveying system input data'!$B$8</f>
        <v>1802.1421841489291</v>
      </c>
      <c r="D19" s="46">
        <f>'Conveying system input data'!$H$26*'Conveying system input data'!$F$26*L19*N19^2*'Pipe line section data'!F36/(2*'Conveying system input data'!$B$7)</f>
        <v>889.04807036369868</v>
      </c>
      <c r="E19" s="46"/>
      <c r="F19" s="46"/>
      <c r="G19" s="46"/>
      <c r="H19" s="46">
        <f t="shared" si="4"/>
        <v>2697.4597150527038</v>
      </c>
      <c r="I19" s="46">
        <v>25</v>
      </c>
      <c r="J19" s="46">
        <f t="shared" si="5"/>
        <v>173464.23296252402</v>
      </c>
      <c r="K19" s="41">
        <f t="shared" si="0"/>
        <v>170766.77324747131</v>
      </c>
      <c r="L19" s="46">
        <f t="shared" si="6"/>
        <v>1.9594001526576397</v>
      </c>
      <c r="M19" s="41">
        <f t="shared" si="1"/>
        <v>1.928930453589452</v>
      </c>
      <c r="N19" s="46">
        <f t="shared" si="7"/>
        <v>35.82729127829451</v>
      </c>
      <c r="O19" s="41">
        <f t="shared" si="2"/>
        <v>36.393224996457626</v>
      </c>
      <c r="P19" s="43">
        <f>N19*L19*'pressure drop calculations'!$B$7/[1]Mixtures!$D$3</f>
        <v>23987144.643194269</v>
      </c>
      <c r="Q19" s="37"/>
    </row>
    <row r="20" spans="1:17" x14ac:dyDescent="0.2">
      <c r="A20" s="79">
        <f t="shared" ref="A20:A28" si="8">A19+1</f>
        <v>5</v>
      </c>
      <c r="B20" s="47">
        <f>0.5*((101^2+0.004567*('Conveying system input data'!$E$26^1.85)*'Pipe line section data'!F37*('Conveying system input data'!$B$7^-5))^0.5-101)</f>
        <v>1.0807308302319996</v>
      </c>
      <c r="C20" s="47">
        <f>'Conveying system input data'!$B$26*N20*0.8/'Conveying system input data'!$B$8</f>
        <v>1830.6091150986292</v>
      </c>
      <c r="D20" s="47">
        <f>'Conveying system input data'!$H$26*'Conveying system input data'!$F$26*L20*N20^2*'Pipe line section data'!F37/(2*'Conveying system input data'!$B$7)</f>
        <v>148.14495049750519</v>
      </c>
      <c r="E20" s="47"/>
      <c r="F20" s="47"/>
      <c r="G20" s="47"/>
      <c r="H20" s="47">
        <f t="shared" si="4"/>
        <v>1979.8347964263662</v>
      </c>
      <c r="I20" s="47">
        <v>25</v>
      </c>
      <c r="J20" s="47">
        <f t="shared" si="5"/>
        <v>170766.77324747131</v>
      </c>
      <c r="K20" s="41">
        <f t="shared" si="0"/>
        <v>168786.93845104496</v>
      </c>
      <c r="L20" s="47">
        <f t="shared" si="6"/>
        <v>1.928930453589452</v>
      </c>
      <c r="M20" s="41">
        <f t="shared" si="1"/>
        <v>1.9065668312097723</v>
      </c>
      <c r="N20" s="47">
        <f t="shared" si="7"/>
        <v>36.393224996457626</v>
      </c>
      <c r="O20" s="41">
        <f t="shared" si="2"/>
        <v>36.820109765287398</v>
      </c>
      <c r="P20" s="43">
        <f>N20*L20*'pressure drop calculations'!$B$7/[1]Mixtures!$D$3</f>
        <v>23987144.643194269</v>
      </c>
      <c r="Q20" s="37"/>
    </row>
    <row r="21" spans="1:17" x14ac:dyDescent="0.2">
      <c r="A21" s="79"/>
      <c r="B21" s="47">
        <f>0.5*((101^2+0.004567*('Conveying system input data'!$E$26^1.85)*'Pipe line section data'!F38*('Conveying system input data'!$B$7^-5))^0.5-101)</f>
        <v>1.0807308302319996</v>
      </c>
      <c r="C21" s="47">
        <f>'Conveying system input data'!$B$26*N21*0.8/'Conveying system input data'!$B$8</f>
        <v>1852.0817696653137</v>
      </c>
      <c r="D21" s="47">
        <f>'Conveying system input data'!$H$26*'Conveying system input data'!$F$26*L21*N21^2*'Pipe line section data'!F38/(2*'Conveying system input data'!$B$7)</f>
        <v>149.88265917687013</v>
      </c>
      <c r="E21" s="47"/>
      <c r="F21" s="47"/>
      <c r="G21" s="47"/>
      <c r="H21" s="47">
        <f t="shared" si="4"/>
        <v>2003.0451596724158</v>
      </c>
      <c r="I21" s="47">
        <v>25</v>
      </c>
      <c r="J21" s="47">
        <f t="shared" si="5"/>
        <v>168786.93845104496</v>
      </c>
      <c r="K21" s="41">
        <f t="shared" si="0"/>
        <v>166783.89329137254</v>
      </c>
      <c r="L21" s="47">
        <f t="shared" si="6"/>
        <v>1.9065668312097723</v>
      </c>
      <c r="M21" s="41">
        <f t="shared" si="1"/>
        <v>1.8839410315010205</v>
      </c>
      <c r="N21" s="47">
        <f t="shared" si="7"/>
        <v>36.820109765287398</v>
      </c>
      <c r="O21" s="41">
        <f t="shared" si="2"/>
        <v>37.262312793340719</v>
      </c>
      <c r="P21" s="43">
        <f>N21*L21*'pressure drop calculations'!$B$7/[1]Mixtures!$D$3</f>
        <v>23987144.643194269</v>
      </c>
      <c r="Q21" s="37"/>
    </row>
    <row r="22" spans="1:17" x14ac:dyDescent="0.2">
      <c r="A22" s="79"/>
      <c r="B22" s="47">
        <f>0.5*((101^2+0.004567*('Conveying system input data'!$E$26^1.85)*'Pipe line section data'!F39*('Conveying system input data'!$B$7^-5))^0.5-101)</f>
        <v>1.0807308302319996</v>
      </c>
      <c r="C22" s="47">
        <f>'Conveying system input data'!$B$26*N22*0.8/'Conveying system input data'!$B$8</f>
        <v>1874.3249452552045</v>
      </c>
      <c r="D22" s="47">
        <f>'Conveying system input data'!$H$26*'Conveying system input data'!$F$26*L22*N22^2*'Pipe line section data'!F39/(2*'Conveying system input data'!$B$7)</f>
        <v>151.68272349398362</v>
      </c>
      <c r="E22" s="47"/>
      <c r="F22" s="47"/>
      <c r="G22" s="47"/>
      <c r="H22" s="47">
        <f t="shared" si="4"/>
        <v>2027.08839957942</v>
      </c>
      <c r="I22" s="47">
        <v>25</v>
      </c>
      <c r="J22" s="47">
        <f t="shared" si="5"/>
        <v>166783.89329137254</v>
      </c>
      <c r="K22" s="41">
        <f t="shared" si="0"/>
        <v>164756.80489179312</v>
      </c>
      <c r="L22" s="47">
        <f t="shared" si="6"/>
        <v>1.8839410315010205</v>
      </c>
      <c r="M22" s="41">
        <f t="shared" si="1"/>
        <v>1.8610436465372595</v>
      </c>
      <c r="N22" s="47">
        <f t="shared" si="7"/>
        <v>37.262312793340719</v>
      </c>
      <c r="O22" s="41">
        <f t="shared" si="2"/>
        <v>37.720770348732671</v>
      </c>
      <c r="P22" s="43">
        <f>N22*L22*'pressure drop calculations'!$B$7/[1]Mixtures!$D$3</f>
        <v>23987144.643194269</v>
      </c>
      <c r="Q22" s="37"/>
    </row>
    <row r="23" spans="1:17" x14ac:dyDescent="0.2">
      <c r="A23" s="79"/>
      <c r="B23" s="47">
        <f>0.5*((101^2+0.004567*('Conveying system input data'!$E$26^1.85)*'Pipe line section data'!F40*('Conveying system input data'!$B$7^-5))^0.5-101)</f>
        <v>1.0807308302319996</v>
      </c>
      <c r="C23" s="47">
        <f>'Conveying system input data'!$B$26*N23*0.8/'Conveying system input data'!$B$8</f>
        <v>1897.3857369236548</v>
      </c>
      <c r="D23" s="47">
        <f>'Conveying system input data'!$H$26*'Conveying system input data'!$F$26*L23*N23^2*'Pipe line section data'!F40/(2*'Conveying system input data'!$B$7)</f>
        <v>153.54895469100887</v>
      </c>
      <c r="E23" s="47"/>
      <c r="F23" s="47"/>
      <c r="G23" s="47"/>
      <c r="H23" s="47">
        <f t="shared" si="4"/>
        <v>2052.0154224448956</v>
      </c>
      <c r="I23" s="47">
        <v>25</v>
      </c>
      <c r="J23" s="47">
        <f t="shared" si="5"/>
        <v>164756.80489179312</v>
      </c>
      <c r="K23" s="41">
        <f t="shared" si="0"/>
        <v>162704.78946934821</v>
      </c>
      <c r="L23" s="47">
        <f t="shared" si="6"/>
        <v>1.8610436465372595</v>
      </c>
      <c r="M23" s="41">
        <f t="shared" si="1"/>
        <v>1.8378646933702223</v>
      </c>
      <c r="N23" s="47">
        <f t="shared" si="7"/>
        <v>37.720770348732671</v>
      </c>
      <c r="O23" s="41">
        <f t="shared" si="2"/>
        <v>38.196500674524245</v>
      </c>
      <c r="P23" s="43">
        <f>N23*L23*'pressure drop calculations'!$B$7/[1]Mixtures!$D$3</f>
        <v>23987144.643194269</v>
      </c>
      <c r="Q23" s="37"/>
    </row>
    <row r="24" spans="1:17" x14ac:dyDescent="0.2">
      <c r="A24" s="79"/>
      <c r="B24" s="47">
        <f>0.5*((101^2+0.004567*('Conveying system input data'!$E$26^1.85)*'Pipe line section data'!F41*('Conveying system input data'!$B$7^-5))^0.5-101)</f>
        <v>1.0807308302319996</v>
      </c>
      <c r="C24" s="47">
        <f>'Conveying system input data'!$B$26*N24*0.8/'Conveying system input data'!$B$8</f>
        <v>1921.3153631331393</v>
      </c>
      <c r="D24" s="47">
        <f>'Conveying system input data'!$H$26*'Conveying system input data'!$F$26*L24*N24^2*'Pipe line section data'!F41/(2*'Conveying system input data'!$B$7)</f>
        <v>155.48549770338039</v>
      </c>
      <c r="E24" s="47"/>
      <c r="F24" s="47"/>
      <c r="G24" s="47"/>
      <c r="H24" s="47">
        <f t="shared" si="4"/>
        <v>2077.8815916667518</v>
      </c>
      <c r="I24" s="47">
        <v>25</v>
      </c>
      <c r="J24" s="47">
        <f t="shared" si="5"/>
        <v>162704.78946934821</v>
      </c>
      <c r="K24" s="41">
        <f t="shared" si="0"/>
        <v>160626.90787768146</v>
      </c>
      <c r="L24" s="47">
        <f t="shared" si="6"/>
        <v>1.8378646933702223</v>
      </c>
      <c r="M24" s="41">
        <f t="shared" si="1"/>
        <v>1.8143935636832396</v>
      </c>
      <c r="N24" s="47">
        <f t="shared" si="7"/>
        <v>38.196500674524245</v>
      </c>
      <c r="O24" s="41">
        <f t="shared" si="2"/>
        <v>38.690613439728693</v>
      </c>
      <c r="P24" s="43">
        <f>N24*L24*'pressure drop calculations'!$B$7/[1]Mixtures!$D$3</f>
        <v>23987144.643194269</v>
      </c>
      <c r="Q24" s="37"/>
    </row>
    <row r="25" spans="1:17" x14ac:dyDescent="0.2">
      <c r="A25" s="79"/>
      <c r="B25" s="47">
        <f>0.5*((101^2+0.004567*('Conveying system input data'!$E$26^1.85)*'Pipe line section data'!F42*('Conveying system input data'!$B$7^-5))^0.5-101)</f>
        <v>1.0807308302319996</v>
      </c>
      <c r="C25" s="47">
        <f>'Conveying system input data'!$B$26*N25*0.8/'Conveying system input data'!$B$8</f>
        <v>1946.1696411466403</v>
      </c>
      <c r="D25" s="47">
        <f>'Conveying system input data'!$H$26*'Conveying system input data'!$F$26*L25*N25^2*'Pipe line section data'!F42/(2*'Conveying system input data'!$B$7)</f>
        <v>157.49686963176882</v>
      </c>
      <c r="E25" s="47"/>
      <c r="F25" s="47"/>
      <c r="G25" s="47"/>
      <c r="H25" s="47">
        <f t="shared" si="4"/>
        <v>2104.7472416086412</v>
      </c>
      <c r="I25" s="47">
        <v>25</v>
      </c>
      <c r="J25" s="47">
        <f t="shared" si="5"/>
        <v>160626.90787768146</v>
      </c>
      <c r="K25" s="41">
        <f t="shared" si="0"/>
        <v>158522.1606360728</v>
      </c>
      <c r="L25" s="47">
        <f t="shared" si="6"/>
        <v>1.8143935636832396</v>
      </c>
      <c r="M25" s="41">
        <f t="shared" si="1"/>
        <v>1.7906189676406956</v>
      </c>
      <c r="N25" s="47">
        <f t="shared" si="7"/>
        <v>38.690613439728693</v>
      </c>
      <c r="O25" s="41">
        <f t="shared" si="2"/>
        <v>39.2043205554194</v>
      </c>
      <c r="P25" s="43">
        <f>N25*L25*'pressure drop calculations'!$B$7/[1]Mixtures!$D$3</f>
        <v>23987144.643194269</v>
      </c>
      <c r="Q25" s="37"/>
    </row>
    <row r="26" spans="1:17" x14ac:dyDescent="0.2">
      <c r="A26" s="79"/>
      <c r="B26" s="47">
        <f>0.5*((101^2+0.004567*('Conveying system input data'!$E$26^1.85)*'Pipe line section data'!F43*('Conveying system input data'!$B$7^-5))^0.5-101)</f>
        <v>0.54322576493792951</v>
      </c>
      <c r="C26" s="47">
        <f>'Conveying system input data'!$B$26*N26*0.8/'Conveying system input data'!$B$8</f>
        <v>1972.0095310867587</v>
      </c>
      <c r="D26" s="47">
        <f>'Conveying system input data'!$H$26*'Conveying system input data'!$F$26*L26*N26^2*'Pipe line section data'!F43/(2*'Conveying system input data'!$B$7)</f>
        <v>79.794001885464297</v>
      </c>
      <c r="E26" s="47"/>
      <c r="F26" s="47"/>
      <c r="G26" s="47"/>
      <c r="H26" s="47">
        <f t="shared" si="4"/>
        <v>2052.3467587371611</v>
      </c>
      <c r="I26" s="47">
        <v>25</v>
      </c>
      <c r="J26" s="47">
        <f t="shared" si="5"/>
        <v>158522.1606360728</v>
      </c>
      <c r="K26" s="41">
        <f t="shared" si="0"/>
        <v>156469.81387733563</v>
      </c>
      <c r="L26" s="47">
        <f t="shared" si="6"/>
        <v>1.7906189676406956</v>
      </c>
      <c r="M26" s="41">
        <f t="shared" si="1"/>
        <v>1.7674362717978886</v>
      </c>
      <c r="N26" s="47">
        <f t="shared" si="7"/>
        <v>39.2043205554194</v>
      </c>
      <c r="O26" s="41">
        <f t="shared" si="2"/>
        <v>39.718546643037072</v>
      </c>
      <c r="P26" s="43">
        <f>N26*L26*'pressure drop calculations'!$B$7/[1]Mixtures!$D$3</f>
        <v>23987144.643194269</v>
      </c>
      <c r="Q26" s="37"/>
    </row>
    <row r="27" spans="1:17" x14ac:dyDescent="0.2">
      <c r="A27" s="80">
        <v>6</v>
      </c>
      <c r="B27" s="48">
        <f>0.5*((101^2+0.004567*('Conveying system input data'!$E$26^1.85)*'Pipe line section data'!F44*('Conveying system input data'!$B$7^-5))^0.5-101)</f>
        <v>6.2694605400759045</v>
      </c>
      <c r="C27" s="48">
        <f>'Conveying system input data'!$B$26*N27*0.8/'Conveying system input data'!$B$8</f>
        <v>1997.8755257411497</v>
      </c>
      <c r="D27" s="48">
        <f>'Conveying system input data'!$H$26*'Conveying system input data'!$F$26*L27*N27^2*'Pipe line section data'!F44/(2*'Conveying system input data'!$B$7)</f>
        <v>985.60890289899748</v>
      </c>
      <c r="E27" s="48"/>
      <c r="F27" s="48"/>
      <c r="G27" s="48"/>
      <c r="H27" s="48">
        <f t="shared" si="4"/>
        <v>2989.7538891802233</v>
      </c>
      <c r="I27" s="48">
        <v>25</v>
      </c>
      <c r="J27" s="48">
        <f t="shared" si="5"/>
        <v>156469.81387733563</v>
      </c>
      <c r="K27" s="41">
        <f t="shared" si="0"/>
        <v>153480.05998815541</v>
      </c>
      <c r="L27" s="48">
        <f t="shared" si="6"/>
        <v>1.7674362717978886</v>
      </c>
      <c r="M27" s="41">
        <f t="shared" si="1"/>
        <v>1.7336649050623951</v>
      </c>
      <c r="N27" s="48">
        <f t="shared" si="7"/>
        <v>39.718546643037072</v>
      </c>
      <c r="O27" s="41">
        <f t="shared" si="2"/>
        <v>40.492254180731351</v>
      </c>
      <c r="P27" s="43">
        <f>N27*L27*'pressure drop calculations'!$B$7/[1]Mixtures!$D$3</f>
        <v>23987144.643194269</v>
      </c>
      <c r="Q27" s="37"/>
    </row>
    <row r="28" spans="1:17" x14ac:dyDescent="0.2">
      <c r="A28" s="81">
        <f t="shared" si="8"/>
        <v>7</v>
      </c>
      <c r="B28" s="49">
        <f>0.5*((101^2+0.004567*('Conveying system input data'!$E$26^1.85)*'Pipe line section data'!F45*('Conveying system input data'!$B$7^-5))^0.5-101)</f>
        <v>1.0807308302319996</v>
      </c>
      <c r="C28" s="49">
        <f>'Conveying system input data'!$B$26*N28*0.8/'Conveying system input data'!$B$8</f>
        <v>2036.7936505036989</v>
      </c>
      <c r="D28" s="49">
        <f>'Conveying system input data'!$H$26*'Conveying system input data'!$F$26*L28*N28^2*'Pipe line section data'!F45/(2*'Conveying system input data'!$B$7)</f>
        <v>164.830761542038</v>
      </c>
      <c r="E28" s="49">
        <f>'Pipe line section data'!F45*'pressure drop calculations'!L28*'Conveying system input data'!$B$10</f>
        <v>34.442405053764318</v>
      </c>
      <c r="F28" s="49">
        <f>'Pipe line section data'!F45*'Conveying system input data'!$D$19*'Conveying system input data'!$B$10/(N28*0.8)</f>
        <v>38.082210806347277</v>
      </c>
      <c r="G28" s="49"/>
      <c r="H28" s="49">
        <f t="shared" si="4"/>
        <v>2275.2297587360799</v>
      </c>
      <c r="I28" s="49">
        <v>25</v>
      </c>
      <c r="J28" s="49">
        <f t="shared" si="5"/>
        <v>153480.05998815541</v>
      </c>
      <c r="K28" s="41">
        <f t="shared" si="0"/>
        <v>151204.83022941934</v>
      </c>
      <c r="L28" s="49">
        <f t="shared" si="6"/>
        <v>1.7336649050623951</v>
      </c>
      <c r="M28" s="41">
        <f t="shared" si="1"/>
        <v>1.7079645894384716</v>
      </c>
      <c r="N28" s="93">
        <f t="shared" si="7"/>
        <v>40.492254180731351</v>
      </c>
      <c r="O28" s="41">
        <f t="shared" si="2"/>
        <v>41.101554700896742</v>
      </c>
      <c r="P28" s="43">
        <f>N28*L28*'pressure drop calculations'!$B$7/[1]Mixtures!$D$3</f>
        <v>23987144.643194269</v>
      </c>
      <c r="Q28" s="37"/>
    </row>
    <row r="29" spans="1:17" x14ac:dyDescent="0.2">
      <c r="A29" s="82"/>
      <c r="B29" s="49">
        <f>0.5*((101^2+0.004567*('Conveying system input data'!$E$26^1.85)*'Pipe line section data'!F46*('Conveying system input data'!$B$7^-5))^0.5-101)</f>
        <v>1.0807308302319996</v>
      </c>
      <c r="C29" s="49">
        <f>'Conveying system input data'!$B$26*N29*0.8/'Conveying system input data'!$B$8</f>
        <v>2067.441967220826</v>
      </c>
      <c r="D29" s="49">
        <f>'Conveying system input data'!$H$26*'Conveying system input data'!$F$26*L29*N29^2*'Pipe line section data'!F46/(2*'Conveying system input data'!$B$7)</f>
        <v>167.31102525614392</v>
      </c>
      <c r="E29" s="49">
        <f>'Pipe line section data'!F46*'pressure drop calculations'!L29*'Conveying system input data'!$B$10</f>
        <v>33.96105048042218</v>
      </c>
      <c r="F29" s="49">
        <f>'Pipe line section data'!F46*'Conveying system input data'!$D$19*'Conveying system input data'!$B$10/(N29*0.8)</f>
        <v>37.517669853524168</v>
      </c>
      <c r="G29" s="49"/>
      <c r="H29" s="49">
        <f t="shared" si="4"/>
        <v>2307.3124436411481</v>
      </c>
      <c r="I29" s="49">
        <v>25</v>
      </c>
      <c r="J29" s="49">
        <f t="shared" si="5"/>
        <v>151204.83022941934</v>
      </c>
      <c r="K29" s="41">
        <f t="shared" si="0"/>
        <v>148897.51778577818</v>
      </c>
      <c r="L29" s="49">
        <f t="shared" si="6"/>
        <v>1.7079645894384716</v>
      </c>
      <c r="M29" s="41">
        <f t="shared" si="1"/>
        <v>1.6819018773906453</v>
      </c>
      <c r="N29" s="49">
        <f t="shared" si="7"/>
        <v>41.101554700896742</v>
      </c>
      <c r="O29" s="41">
        <f t="shared" si="2"/>
        <v>41.738463428621912</v>
      </c>
      <c r="P29" s="43">
        <f>N29*L29*'pressure drop calculations'!$B$7/[1]Mixtures!$D$3</f>
        <v>23987144.643194269</v>
      </c>
      <c r="Q29" s="37"/>
    </row>
    <row r="30" spans="1:17" x14ac:dyDescent="0.2">
      <c r="A30" s="82"/>
      <c r="B30" s="49">
        <f>0.5*((101^2+0.004567*('Conveying system input data'!$E$26^1.85)*'Pipe line section data'!F47*('Conveying system input data'!$B$7^-5))^0.5-101)</f>
        <v>1.0807308302319996</v>
      </c>
      <c r="C30" s="49">
        <f>'Conveying system input data'!$B$26*N30*0.8/'Conveying system input data'!$B$8</f>
        <v>2099.478999458916</v>
      </c>
      <c r="D30" s="49">
        <f>'Conveying system input data'!$H$26*'Conveying system input data'!$F$26*L30*N30^2*'Pipe line section data'!F47/(2*'Conveying system input data'!$B$7)</f>
        <v>169.90367297970946</v>
      </c>
      <c r="E30" s="49">
        <f>'Pipe line section data'!F47*'pressure drop calculations'!L30*'Conveying system input data'!$B$10</f>
        <v>33.473340444214742</v>
      </c>
      <c r="F30" s="49">
        <f>'Pipe line section data'!F47*'Conveying system input data'!$D$19*'Conveying system input data'!$B$10/(N30*0.8)</f>
        <v>36.945168390587348</v>
      </c>
      <c r="G30" s="49"/>
      <c r="H30" s="49">
        <f t="shared" si="4"/>
        <v>2340.8819121036595</v>
      </c>
      <c r="I30" s="49">
        <v>25</v>
      </c>
      <c r="J30" s="49">
        <f t="shared" si="5"/>
        <v>148897.51778577818</v>
      </c>
      <c r="K30" s="41">
        <f t="shared" si="0"/>
        <v>146556.63587367453</v>
      </c>
      <c r="L30" s="49">
        <f t="shared" si="6"/>
        <v>1.6819018773906453</v>
      </c>
      <c r="M30" s="41">
        <f t="shared" si="1"/>
        <v>1.6554599746560317</v>
      </c>
      <c r="N30" s="49">
        <f t="shared" si="7"/>
        <v>41.738463428621912</v>
      </c>
      <c r="O30" s="41">
        <f t="shared" si="2"/>
        <v>42.405132757489959</v>
      </c>
      <c r="P30" s="43">
        <f>N30*L30*'pressure drop calculations'!$B$7/[1]Mixtures!$D$3</f>
        <v>23987144.643194269</v>
      </c>
      <c r="Q30" s="37"/>
    </row>
    <row r="31" spans="1:17" x14ac:dyDescent="0.2">
      <c r="A31" s="82"/>
      <c r="B31" s="49">
        <f>0.5*((101^2+0.004567*('Conveying system input data'!$E$26^1.85)*'Pipe line section data'!F48*('Conveying system input data'!$B$7^-5))^0.5-101)</f>
        <v>1.0807308302319996</v>
      </c>
      <c r="C31" s="49">
        <f>'Conveying system input data'!$B$26*N31*0.8/'Conveying system input data'!$B$8</f>
        <v>2133.0130143834331</v>
      </c>
      <c r="D31" s="49">
        <f>'Conveying system input data'!$H$26*'Conveying system input data'!$F$26*L31*N31^2*'Pipe line section data'!F48/(2*'Conveying system input data'!$B$7)</f>
        <v>172.61746640507849</v>
      </c>
      <c r="E31" s="49">
        <f>'Pipe line section data'!F48*'pressure drop calculations'!L31*'Conveying system input data'!$B$10</f>
        <v>32.978997856682113</v>
      </c>
      <c r="F31" s="49">
        <f>'Pipe line section data'!F48*'Conveying system input data'!$D$19*'Conveying system input data'!$B$10/(N31*0.8)</f>
        <v>36.364337509648308</v>
      </c>
      <c r="G31" s="49"/>
      <c r="H31" s="49">
        <f t="shared" si="4"/>
        <v>2376.0545469850745</v>
      </c>
      <c r="I31" s="49">
        <v>25</v>
      </c>
      <c r="J31" s="49">
        <f t="shared" si="5"/>
        <v>146556.63587367453</v>
      </c>
      <c r="K31" s="41">
        <f t="shared" si="0"/>
        <v>144180.58132668945</v>
      </c>
      <c r="L31" s="49">
        <f t="shared" si="6"/>
        <v>1.6554599746560317</v>
      </c>
      <c r="M31" s="41">
        <f t="shared" si="1"/>
        <v>1.6286207723457129</v>
      </c>
      <c r="N31" s="49">
        <f t="shared" si="7"/>
        <v>42.405132757489959</v>
      </c>
      <c r="O31" s="41">
        <f t="shared" si="2"/>
        <v>43.10395715933948</v>
      </c>
      <c r="P31" s="43">
        <f>N31*L31*'pressure drop calculations'!$B$7/[1]Mixtures!$D$3</f>
        <v>23987144.643194269</v>
      </c>
      <c r="Q31" s="37"/>
    </row>
    <row r="32" spans="1:17" x14ac:dyDescent="0.2">
      <c r="A32" s="82"/>
      <c r="B32" s="49">
        <f>0.5*((101^2+0.004567*('Conveying system input data'!$E$26^1.85)*'Pipe line section data'!F49*('Conveying system input data'!$B$7^-5))^0.5-101)</f>
        <v>0.1363527924613237</v>
      </c>
      <c r="C32" s="49">
        <f>'Conveying system input data'!$B$26*N32*0.8/'Conveying system input data'!$B$8</f>
        <v>2168.1644558949674</v>
      </c>
      <c r="D32" s="49">
        <f>'Conveying system input data'!$H$26*'Conveying system input data'!$F$26*L32*N32^2*'Pipe line section data'!F49/(2*'Conveying system input data'!$B$7)</f>
        <v>21.932769080778375</v>
      </c>
      <c r="E32" s="49">
        <f>'Pipe line section data'!F49*'pressure drop calculations'!L32*'Conveying system input data'!$B$10</f>
        <v>4.0597156609391494</v>
      </c>
      <c r="F32" s="49">
        <f>'Pipe line section data'!F49*'Conveying system input data'!$D$19*'Conveying system input data'!$B$10/(N32*0.8)</f>
        <v>4.4718474281678864</v>
      </c>
      <c r="G32" s="49"/>
      <c r="H32" s="49">
        <f t="shared" si="4"/>
        <v>2198.7651408573147</v>
      </c>
      <c r="I32" s="49">
        <v>25</v>
      </c>
      <c r="J32" s="49">
        <f t="shared" si="5"/>
        <v>144180.58132668945</v>
      </c>
      <c r="K32" s="41">
        <f t="shared" si="0"/>
        <v>141981.81618583214</v>
      </c>
      <c r="L32" s="49">
        <f t="shared" si="6"/>
        <v>1.6286207723457129</v>
      </c>
      <c r="M32" s="41">
        <f t="shared" si="1"/>
        <v>1.603784178201346</v>
      </c>
      <c r="N32" s="49">
        <f t="shared" si="7"/>
        <v>43.10395715933948</v>
      </c>
      <c r="O32" s="41">
        <f t="shared" si="2"/>
        <v>43.771475585156182</v>
      </c>
      <c r="P32" s="43">
        <f>N32*L32*'pressure drop calculations'!$B$7/[1]Mixtures!$D$3</f>
        <v>23987144.643194269</v>
      </c>
      <c r="Q32" s="37"/>
    </row>
    <row r="33" spans="1:17" x14ac:dyDescent="0.2">
      <c r="A33" s="83">
        <v>8</v>
      </c>
      <c r="B33" s="50">
        <f>0.5*((101^2+0.004567*('Conveying system input data'!$E$26^1.85)*'Pipe line section data'!F50*('Conveying system input data'!$B$7^-5))^0.5-101)</f>
        <v>6.2694605400759045</v>
      </c>
      <c r="C33" s="50">
        <f>'Conveying system input data'!$B$26*N33*0.8/'Conveying system input data'!$B$8</f>
        <v>2201.7411810935523</v>
      </c>
      <c r="D33" s="50">
        <f>'Conveying system input data'!$H$26*'Conveying system input data'!$F$26*L33*N33^2*'Pipe line section data'!F50/(2*'Conveying system input data'!$B$7)</f>
        <v>1086.1816374471755</v>
      </c>
      <c r="E33" s="50"/>
      <c r="F33" s="50"/>
      <c r="G33" s="50"/>
      <c r="H33" s="50">
        <f t="shared" si="4"/>
        <v>3294.1922790808039</v>
      </c>
      <c r="I33" s="50">
        <v>25</v>
      </c>
      <c r="J33" s="50">
        <f t="shared" si="5"/>
        <v>141981.81618583214</v>
      </c>
      <c r="K33" s="41">
        <f t="shared" si="0"/>
        <v>138687.62390675134</v>
      </c>
      <c r="L33" s="50">
        <f t="shared" si="6"/>
        <v>1.603784178201346</v>
      </c>
      <c r="M33" s="41">
        <f t="shared" si="1"/>
        <v>1.5665739663652896</v>
      </c>
      <c r="N33" s="50">
        <f t="shared" si="7"/>
        <v>43.771475585156182</v>
      </c>
      <c r="O33" s="41">
        <f t="shared" si="2"/>
        <v>44.811162132915811</v>
      </c>
      <c r="P33" s="51">
        <f>N33*L33*'pressure drop calculations'!$B$7/[1]Mixtures!$D$3</f>
        <v>23987144.643194269</v>
      </c>
      <c r="Q33" s="37"/>
    </row>
    <row r="34" spans="1:17" x14ac:dyDescent="0.2">
      <c r="A34" s="84">
        <v>9</v>
      </c>
      <c r="B34" s="52">
        <f>0.5*((101^2+0.004567*('Conveying system input data'!$E$26^1.85)*'Pipe line section data'!F51*('Conveying system input data'!$B$7^-5))^0.5-101)</f>
        <v>1.0807308302319996</v>
      </c>
      <c r="C34" s="52">
        <f>'Conveying system input data'!$B$26*N34*0.8/'Conveying system input data'!$B$8</f>
        <v>2254.0382685695727</v>
      </c>
      <c r="D34" s="52">
        <f>'Conveying system input data'!$H$26*'Conveying system input data'!$F$26*L34*N34^2*'Pipe line section data'!F51/(2*'Conveying system input data'!$B$7)</f>
        <v>182.41162734444839</v>
      </c>
      <c r="E34" s="52"/>
      <c r="F34" s="52"/>
      <c r="G34" s="52"/>
      <c r="H34" s="52">
        <f t="shared" si="4"/>
        <v>2437.5306267442529</v>
      </c>
      <c r="I34" s="52">
        <v>25</v>
      </c>
      <c r="J34" s="52">
        <f t="shared" si="5"/>
        <v>138687.62390675134</v>
      </c>
      <c r="K34" s="41">
        <f t="shared" si="0"/>
        <v>136250.09328000707</v>
      </c>
      <c r="L34" s="52">
        <f t="shared" si="6"/>
        <v>1.5665739663652896</v>
      </c>
      <c r="M34" s="41">
        <f t="shared" si="1"/>
        <v>1.5390403486241484</v>
      </c>
      <c r="N34" s="50">
        <f t="shared" si="7"/>
        <v>44.811162132915811</v>
      </c>
      <c r="O34" s="41">
        <f t="shared" si="2"/>
        <v>45.612839236317932</v>
      </c>
      <c r="P34" s="43">
        <f>N34*L34*'pressure drop calculations'!$B$7/[1]Mixtures!$D$3</f>
        <v>23987144.643194269</v>
      </c>
      <c r="Q34" s="37"/>
    </row>
    <row r="35" spans="1:17" x14ac:dyDescent="0.2">
      <c r="A35" s="84"/>
      <c r="B35" s="52">
        <f>0.5*((101^2+0.004567*('Conveying system input data'!$E$26^1.85)*'Pipe line section data'!F52*('Conveying system input data'!$B$7^-5))^0.5-101)</f>
        <v>1.0807308302319996</v>
      </c>
      <c r="C35" s="52">
        <f>'Conveying system input data'!$B$26*N35*0.8/'Conveying system input data'!$B$8</f>
        <v>2294.3632854647944</v>
      </c>
      <c r="D35" s="52">
        <f>'Conveying system input data'!$H$26*'Conveying system input data'!$F$26*L35*N35^2*'Pipe line section data'!F52/(2*'Conveying system input data'!$B$7)</f>
        <v>185.6749933915643</v>
      </c>
      <c r="E35" s="52"/>
      <c r="F35" s="52"/>
      <c r="G35" s="52"/>
      <c r="H35" s="52">
        <f t="shared" si="4"/>
        <v>2481.1190096865907</v>
      </c>
      <c r="I35" s="52">
        <v>25</v>
      </c>
      <c r="J35" s="52">
        <f t="shared" si="5"/>
        <v>136250.09328000707</v>
      </c>
      <c r="K35" s="41">
        <f t="shared" si="0"/>
        <v>133768.97427032047</v>
      </c>
      <c r="L35" s="52">
        <f t="shared" si="6"/>
        <v>1.5390403486241484</v>
      </c>
      <c r="M35" s="41">
        <f t="shared" si="1"/>
        <v>1.5110143695314324</v>
      </c>
      <c r="N35" s="50">
        <f t="shared" si="7"/>
        <v>45.612839236317932</v>
      </c>
      <c r="O35" s="41">
        <f t="shared" si="2"/>
        <v>46.458856656518165</v>
      </c>
      <c r="P35" s="43">
        <f>N35*L35*'pressure drop calculations'!$B$7/[1]Mixtures!$D$3</f>
        <v>23987144.643194269</v>
      </c>
      <c r="Q35" s="37"/>
    </row>
    <row r="36" spans="1:17" x14ac:dyDescent="0.2">
      <c r="A36" s="84"/>
      <c r="B36" s="52">
        <f>0.5*((101^2+0.004567*('Conveying system input data'!$E$26^1.85)*'Pipe line section data'!F53*('Conveying system input data'!$B$7^-5))^0.5-101)</f>
        <v>1.0807308302319996</v>
      </c>
      <c r="C36" s="52">
        <f>'Conveying system input data'!$B$26*N36*0.8/'Conveying system input data'!$B$8</f>
        <v>2336.9186567214369</v>
      </c>
      <c r="D36" s="52">
        <f>'Conveying system input data'!$H$26*'Conveying system input data'!$F$26*L36*N36^2*'Pipe line section data'!F53/(2*'Conveying system input data'!$B$7)</f>
        <v>189.11885440821757</v>
      </c>
      <c r="E36" s="52"/>
      <c r="F36" s="52"/>
      <c r="G36" s="52"/>
      <c r="H36" s="52">
        <f t="shared" si="4"/>
        <v>2527.1182419598863</v>
      </c>
      <c r="I36" s="52">
        <v>25</v>
      </c>
      <c r="J36" s="52">
        <f t="shared" si="5"/>
        <v>133768.97427032047</v>
      </c>
      <c r="K36" s="41">
        <f t="shared" si="0"/>
        <v>131241.85602836058</v>
      </c>
      <c r="L36" s="52">
        <f t="shared" si="6"/>
        <v>1.5110143695314324</v>
      </c>
      <c r="M36" s="41">
        <f t="shared" si="1"/>
        <v>1.4824687968533472</v>
      </c>
      <c r="N36" s="50">
        <f t="shared" si="7"/>
        <v>46.458856656518165</v>
      </c>
      <c r="O36" s="41">
        <f t="shared" si="2"/>
        <v>47.353441872776564</v>
      </c>
      <c r="P36" s="43">
        <f>N36*L36*'pressure drop calculations'!$B$7/[1]Mixtures!$D$3</f>
        <v>23987144.643194269</v>
      </c>
      <c r="Q36" s="37"/>
    </row>
    <row r="37" spans="1:17" x14ac:dyDescent="0.2">
      <c r="A37" s="84"/>
      <c r="B37" s="52">
        <f>0.5*((101^2+0.004567*('Conveying system input data'!$E$26^1.85)*'Pipe line section data'!F54*('Conveying system input data'!$B$7^-5))^0.5-101)</f>
        <v>1.0807308302319996</v>
      </c>
      <c r="C37" s="52">
        <f>'Conveying system input data'!$B$26*N37*0.8/'Conveying system input data'!$B$8</f>
        <v>2381.9170280192402</v>
      </c>
      <c r="D37" s="52">
        <f>'Conveying system input data'!$H$26*'Conveying system input data'!$F$26*L37*N37^2*'Pipe line section data'!F54/(2*'Conveying system input data'!$B$7)</f>
        <v>192.76041908382132</v>
      </c>
      <c r="E37" s="52"/>
      <c r="F37" s="52"/>
      <c r="G37" s="52"/>
      <c r="H37" s="52">
        <f t="shared" si="4"/>
        <v>2575.7581779332936</v>
      </c>
      <c r="I37" s="52">
        <v>25</v>
      </c>
      <c r="J37" s="52">
        <f t="shared" si="5"/>
        <v>131241.85602836058</v>
      </c>
      <c r="K37" s="41">
        <f t="shared" si="0"/>
        <v>128666.09785042728</v>
      </c>
      <c r="L37" s="52">
        <f t="shared" si="6"/>
        <v>1.4824687968533472</v>
      </c>
      <c r="M37" s="41">
        <f t="shared" si="1"/>
        <v>1.4533738019898121</v>
      </c>
      <c r="N37" s="50">
        <f t="shared" si="7"/>
        <v>47.353441872776564</v>
      </c>
      <c r="O37" s="41">
        <f t="shared" si="2"/>
        <v>48.301407321288757</v>
      </c>
      <c r="P37" s="43">
        <f>N37*L37*'pressure drop calculations'!$B$7/[1]Mixtures!$D$3</f>
        <v>23987144.643194269</v>
      </c>
      <c r="Q37" s="37"/>
    </row>
    <row r="38" spans="1:17" x14ac:dyDescent="0.2">
      <c r="A38" s="84"/>
      <c r="B38" s="52">
        <f>0.5*((101^2+0.004567*('Conveying system input data'!$E$26^1.85)*'Pipe line section data'!F55*('Conveying system input data'!$B$7^-5))^0.5-101)</f>
        <v>1.0807308302319996</v>
      </c>
      <c r="C38" s="52">
        <f>'Conveying system input data'!$B$26*N38*0.8/'Conveying system input data'!$B$8</f>
        <v>2429.6004688523594</v>
      </c>
      <c r="D38" s="52">
        <f>'Conveying system input data'!$H$26*'Conveying system input data'!$F$26*L38*N38^2*'Pipe line section data'!F55/(2*'Conveying system input data'!$B$7)</f>
        <v>196.61927727670897</v>
      </c>
      <c r="E38" s="52"/>
      <c r="F38" s="52"/>
      <c r="G38" s="52"/>
      <c r="H38" s="52">
        <f t="shared" si="4"/>
        <v>2627.3004769593003</v>
      </c>
      <c r="I38" s="52">
        <v>25</v>
      </c>
      <c r="J38" s="52">
        <f t="shared" si="5"/>
        <v>128666.09785042728</v>
      </c>
      <c r="K38" s="41">
        <f t="shared" si="0"/>
        <v>126038.79737346798</v>
      </c>
      <c r="L38" s="52">
        <f t="shared" si="6"/>
        <v>1.4533738019898121</v>
      </c>
      <c r="M38" s="41">
        <f t="shared" si="1"/>
        <v>1.4236966007148744</v>
      </c>
      <c r="N38" s="50">
        <f t="shared" si="7"/>
        <v>48.301407321288757</v>
      </c>
      <c r="O38" s="41">
        <f t="shared" si="2"/>
        <v>49.308258490433133</v>
      </c>
      <c r="P38" s="43">
        <f>N38*L38*'pressure drop calculations'!$B$7/[1]Mixtures!$D$3</f>
        <v>23987144.643194269</v>
      </c>
      <c r="Q38" s="37"/>
    </row>
    <row r="39" spans="1:17" x14ac:dyDescent="0.2">
      <c r="A39" s="84"/>
      <c r="B39" s="52">
        <f>0.5*((101^2+0.004567*('Conveying system input data'!$E$26^1.85)*'Pipe line section data'!F56*('Conveying system input data'!$B$7^-5))^0.5-101)</f>
        <v>0.54322576493792951</v>
      </c>
      <c r="C39" s="52">
        <f>'Conveying system input data'!$B$26*N39*0.8/'Conveying system input data'!$B$8</f>
        <v>2480.245909809099</v>
      </c>
      <c r="D39" s="52">
        <f>'Conveying system input data'!$H$26*'Conveying system input data'!$F$26*L39*N39^2*'Pipe line section data'!F56/(2*'Conveying system input data'!$B$7)</f>
        <v>100.35892001731675</v>
      </c>
      <c r="E39" s="52"/>
      <c r="F39" s="52"/>
      <c r="G39" s="52"/>
      <c r="H39" s="52">
        <f t="shared" si="4"/>
        <v>2581.148055591354</v>
      </c>
      <c r="I39" s="52">
        <v>25</v>
      </c>
      <c r="J39" s="52">
        <f t="shared" si="5"/>
        <v>126038.79737346798</v>
      </c>
      <c r="K39" s="41">
        <f t="shared" si="0"/>
        <v>123457.64931787662</v>
      </c>
      <c r="L39" s="52">
        <f t="shared" si="6"/>
        <v>1.4236966007148744</v>
      </c>
      <c r="M39" s="41">
        <f t="shared" si="1"/>
        <v>1.3945407234035536</v>
      </c>
      <c r="N39" s="50">
        <f t="shared" si="7"/>
        <v>49.308258490433133</v>
      </c>
      <c r="O39" s="41">
        <f t="shared" si="2"/>
        <v>50.339153831713126</v>
      </c>
      <c r="P39" s="43">
        <f>N39*L39*'pressure drop calculations'!$B$7/[1]Mixtures!$D$3</f>
        <v>23987144.643194269</v>
      </c>
      <c r="Q39" s="37"/>
    </row>
    <row r="40" spans="1:17" x14ac:dyDescent="0.2">
      <c r="A40" s="75">
        <v>10</v>
      </c>
      <c r="B40" s="41">
        <f>0.5*((101^2+0.004567*('Conveying system input data'!$E$26^1.85)*'Pipe line section data'!F55*('Conveying system input data'!$B$7^-5))^0.5-101)</f>
        <v>1.0807308302319996</v>
      </c>
      <c r="C40" s="41">
        <f>'Conveying system input data'!$B$26*N40*0.8/'Conveying system input data'!$B$8</f>
        <v>2532.1007923770371</v>
      </c>
      <c r="D40" s="41">
        <f>'Conveying system input data'!$H$26*'Conveying system input data'!$F$26*L40*N40^2*'Pipe line section data'!F57/(2*'Conveying system input data'!$B$7)</f>
        <v>1249.1574434191043</v>
      </c>
      <c r="E40" s="41"/>
      <c r="F40" s="41"/>
      <c r="G40" s="41"/>
      <c r="H40" s="41">
        <f t="shared" si="4"/>
        <v>3782.3389666263733</v>
      </c>
      <c r="I40" s="41">
        <v>25</v>
      </c>
      <c r="J40" s="52">
        <f t="shared" si="5"/>
        <v>123457.64931787662</v>
      </c>
      <c r="K40" s="41">
        <f t="shared" si="0"/>
        <v>119675.31035125026</v>
      </c>
      <c r="L40" s="52">
        <f t="shared" si="6"/>
        <v>1.3945407234035536</v>
      </c>
      <c r="M40" s="41">
        <f t="shared" si="1"/>
        <v>1.3518165524200647</v>
      </c>
      <c r="N40" s="50">
        <f t="shared" si="7"/>
        <v>50.339153831713126</v>
      </c>
      <c r="O40" s="41">
        <f t="shared" si="2"/>
        <v>51.930123117908067</v>
      </c>
      <c r="P40" s="43">
        <f>N40*L40*'pressure drop calculations'!$B$7/[1]Mixtures!$D$3</f>
        <v>23987144.643194269</v>
      </c>
      <c r="Q40" s="37"/>
    </row>
    <row r="41" spans="1:17" x14ac:dyDescent="0.2">
      <c r="A41" s="81">
        <v>11</v>
      </c>
      <c r="B41" s="41">
        <f>0.5*((101^2+0.004567*('Conveying system input data'!$E$26^1.85)*'Pipe line section data'!F56*('Conveying system input data'!$B$7^-5))^0.5-101)</f>
        <v>0.54322576493792951</v>
      </c>
      <c r="C41" s="41">
        <f>'Conveying system input data'!$B$26*N41*0.8/'Conveying system input data'!$B$8</f>
        <v>2612.1278544863694</v>
      </c>
      <c r="D41" s="41">
        <f>'Conveying system input data'!$H$26*'Conveying system input data'!$F$26*L41*N41^2*'Pipe line section data'!F58/(2*'Conveying system input data'!$B$7)</f>
        <v>211.39059589746898</v>
      </c>
      <c r="E41" s="41">
        <f>-'Pipe line section data'!F58*L41*'Conveying system input data'!$B$10</f>
        <v>-26.522640758481671</v>
      </c>
      <c r="F41" s="41">
        <f>-'Pipe line section data'!F58*'Conveying system input data'!$D$19*'Conveying system input data'!$B$10/('pressure drop calculations'!N41*0.8)</f>
        <v>-31.69599428190881</v>
      </c>
      <c r="G41" s="41"/>
      <c r="H41" s="41">
        <f t="shared" si="4"/>
        <v>2765.8430411083855</v>
      </c>
      <c r="I41" s="41">
        <v>25</v>
      </c>
      <c r="J41" s="52">
        <f t="shared" si="5"/>
        <v>119675.31035125026</v>
      </c>
      <c r="K41" s="41">
        <f t="shared" si="0"/>
        <v>116909.46731014187</v>
      </c>
      <c r="L41" s="52">
        <f t="shared" si="6"/>
        <v>1.3518165524200647</v>
      </c>
      <c r="M41" s="41">
        <f t="shared" si="1"/>
        <v>1.3205744157304471</v>
      </c>
      <c r="N41" s="50">
        <f t="shared" si="7"/>
        <v>51.930123117908067</v>
      </c>
      <c r="O41" s="41">
        <f t="shared" si="2"/>
        <v>53.158685465801923</v>
      </c>
      <c r="P41" s="43">
        <f>N41*L41*'pressure drop calculations'!$B$7/[1]Mixtures!$D$3</f>
        <v>23987144.643194269</v>
      </c>
      <c r="Q41" s="37"/>
    </row>
    <row r="42" spans="1:17" x14ac:dyDescent="0.2">
      <c r="A42" s="75"/>
      <c r="B42" s="41">
        <f>0.5*((101^2+0.004567*('Conveying system input data'!$E$26^1.85)*'Pipe line section data'!F57*('Conveying system input data'!$B$7^-5))^0.5-101)</f>
        <v>6.2694605400759045</v>
      </c>
      <c r="C42" s="41">
        <f>'Conveying system input data'!$B$26*N42*0.8/'Conveying system input data'!$B$8</f>
        <v>2673.9255498744633</v>
      </c>
      <c r="D42" s="41">
        <f>'Conveying system input data'!$H$26*'Conveying system input data'!$F$26*L42*N42^2*'Pipe line section data'!F59/(2*'Conveying system input data'!$B$7)</f>
        <v>81.146877210080461</v>
      </c>
      <c r="E42" s="41">
        <f>-'Pipe line section data'!F59*L42*'Conveying system input data'!$B$10</f>
        <v>-9.7161262637367649</v>
      </c>
      <c r="F42" s="41">
        <f>-'Pipe line section data'!F59*'Conveying system input data'!$D$19*'Conveying system input data'!$B$10/('pressure drop calculations'!N42*0.8)</f>
        <v>-11.637650069627448</v>
      </c>
      <c r="G42" s="41"/>
      <c r="H42" s="41">
        <f t="shared" si="4"/>
        <v>2739.9881112912558</v>
      </c>
      <c r="I42" s="41">
        <v>25</v>
      </c>
      <c r="J42" s="52">
        <f t="shared" si="5"/>
        <v>116909.46731014187</v>
      </c>
      <c r="K42" s="41">
        <f t="shared" si="0"/>
        <v>114169.47919885062</v>
      </c>
      <c r="L42" s="52">
        <f t="shared" si="6"/>
        <v>1.3205744157304471</v>
      </c>
      <c r="M42" s="41">
        <f t="shared" si="1"/>
        <v>1.2896243286038171</v>
      </c>
      <c r="N42" s="50">
        <f t="shared" si="7"/>
        <v>53.158685465801923</v>
      </c>
      <c r="O42" s="41">
        <f t="shared" si="2"/>
        <v>54.434456952281941</v>
      </c>
      <c r="P42" s="43">
        <f>N42*L42*'pressure drop calculations'!$B$7/[1]Mixtures!$D$3</f>
        <v>23987144.643194269</v>
      </c>
      <c r="Q42" s="37"/>
    </row>
    <row r="43" spans="1:17" x14ac:dyDescent="0.2">
      <c r="A43" s="75">
        <v>12</v>
      </c>
      <c r="B43" s="41">
        <f>0.5*((101^2+0.004567*('Conveying system input data'!$E$26^1.85)*'Pipe line section data'!F58*('Conveying system input data'!$B$7^-5))^0.5-101)</f>
        <v>1.0807308302319996</v>
      </c>
      <c r="C43" s="41">
        <f>'Conveying system input data'!$B$26*N43*0.8/'Conveying system input data'!$B$8</f>
        <v>2738.0979037167122</v>
      </c>
      <c r="D43" s="41">
        <f>'Conveying system input data'!$H$26*'Conveying system input data'!$F$26*L43*N43^2*'Pipe line section data'!F60/(2*'Conveying system input data'!$B$7)</f>
        <v>1350.7816859166646</v>
      </c>
      <c r="E43" s="41"/>
      <c r="F43" s="41"/>
      <c r="G43" s="41"/>
      <c r="H43" s="41">
        <f t="shared" si="4"/>
        <v>4089.9603204636087</v>
      </c>
      <c r="I43" s="41">
        <v>25</v>
      </c>
      <c r="J43" s="52">
        <f t="shared" si="5"/>
        <v>114169.47919885062</v>
      </c>
      <c r="K43" s="41">
        <f t="shared" si="0"/>
        <v>110079.51887838701</v>
      </c>
      <c r="L43" s="52">
        <f t="shared" si="6"/>
        <v>1.2896243286038171</v>
      </c>
      <c r="M43" s="41">
        <f t="shared" si="1"/>
        <v>1.2434253587100552</v>
      </c>
      <c r="N43" s="50">
        <f t="shared" si="7"/>
        <v>54.434456952281941</v>
      </c>
      <c r="O43" s="41">
        <f t="shared" si="2"/>
        <v>56.456947341677456</v>
      </c>
      <c r="P43" s="43">
        <f>N43*L43*'pressure drop calculations'!$B$7/[1]Mixtures!$D$3</f>
        <v>23987144.643194269</v>
      </c>
      <c r="Q43" s="37"/>
    </row>
    <row r="44" spans="1:17" x14ac:dyDescent="0.2">
      <c r="A44" s="75">
        <v>13</v>
      </c>
      <c r="B44" s="41">
        <f>0.5*((101^2+0.004567*('Conveying system input data'!$E$26^1.85)*'Pipe line section data'!F59*('Conveying system input data'!$B$7^-5))^0.5-101)</f>
        <v>0.40796275994372166</v>
      </c>
      <c r="C44" s="41">
        <f>'Conveying system input data'!$B$26*N44*0.8/'Conveying system input data'!$B$8</f>
        <v>2839.8308318204236</v>
      </c>
      <c r="D44" s="41">
        <f>'Conveying system input data'!$H$26*'Conveying system input data'!$F$26*L44*N44^2*'Pipe line section data'!F61/(2*'Conveying system input data'!$B$7)</f>
        <v>229.81782103639247</v>
      </c>
      <c r="E44" s="41"/>
      <c r="F44" s="41"/>
      <c r="G44" s="41"/>
      <c r="H44" s="41">
        <f t="shared" si="4"/>
        <v>3070.0566156167597</v>
      </c>
      <c r="I44" s="41">
        <v>25</v>
      </c>
      <c r="J44" s="52">
        <f t="shared" si="5"/>
        <v>110079.51887838701</v>
      </c>
      <c r="K44" s="41">
        <f t="shared" si="0"/>
        <v>107009.46226277025</v>
      </c>
      <c r="L44" s="52">
        <f t="shared" si="6"/>
        <v>1.2434253587100552</v>
      </c>
      <c r="M44" s="41">
        <f t="shared" si="1"/>
        <v>1.2087469163673812</v>
      </c>
      <c r="N44" s="50">
        <f t="shared" si="7"/>
        <v>56.456947341677456</v>
      </c>
      <c r="O44" s="41">
        <f t="shared" si="2"/>
        <v>58.076673495036005</v>
      </c>
      <c r="P44" s="43">
        <f>N44*L44*'pressure drop calculations'!$B$7/[1]Mixtures!$D$3</f>
        <v>23987144.643194269</v>
      </c>
      <c r="Q44" s="37"/>
    </row>
    <row r="45" spans="1:17" x14ac:dyDescent="0.2">
      <c r="A45" s="75"/>
      <c r="B45" s="41">
        <f>0.5*((101^2+0.004567*('Conveying system input data'!$E$26^1.85)*'Pipe line section data'!F60*('Conveying system input data'!$B$7^-5))^0.5-101)</f>
        <v>6.2694605400759045</v>
      </c>
      <c r="C45" s="41">
        <f>'Conveying system input data'!$B$26*N45*0.8/'Conveying system input data'!$B$8</f>
        <v>2921.3043879724382</v>
      </c>
      <c r="D45" s="41">
        <f>'Conveying system input data'!$H$26*'Conveying system input data'!$F$26*L45*N45^2*'Pipe line section data'!F62/(2*'Conveying system input data'!$B$7)</f>
        <v>236.41119798587067</v>
      </c>
      <c r="E45" s="41"/>
      <c r="F45" s="41"/>
      <c r="G45" s="41"/>
      <c r="H45" s="41">
        <f t="shared" si="4"/>
        <v>3163.9850464983851</v>
      </c>
      <c r="I45" s="41">
        <v>25</v>
      </c>
      <c r="J45" s="52">
        <f t="shared" si="5"/>
        <v>107009.46226277025</v>
      </c>
      <c r="K45" s="41">
        <f t="shared" si="0"/>
        <v>103845.47721627186</v>
      </c>
      <c r="L45" s="52">
        <f t="shared" si="6"/>
        <v>1.2087469163673812</v>
      </c>
      <c r="M45" s="41">
        <f t="shared" si="1"/>
        <v>1.1730074865308293</v>
      </c>
      <c r="N45" s="50">
        <f t="shared" si="7"/>
        <v>58.076673495036005</v>
      </c>
      <c r="O45" s="41">
        <f t="shared" si="2"/>
        <v>59.846165353655628</v>
      </c>
      <c r="P45" s="43">
        <f>N45*L45*'pressure drop calculations'!$B$7/[1]Mixtures!$D$3</f>
        <v>23987144.643194269</v>
      </c>
      <c r="Q45" s="37"/>
    </row>
    <row r="46" spans="1:17" x14ac:dyDescent="0.2">
      <c r="A46" s="75"/>
      <c r="B46" s="41">
        <f>0.5*((101^2+0.004567*('Conveying system input data'!$E$26^1.85)*'Pipe line section data'!F61*('Conveying system input data'!$B$7^-5))^0.5-101)</f>
        <v>1.0807308302319996</v>
      </c>
      <c r="C46" s="41">
        <f>'Conveying system input data'!$B$26*N46*0.8/'Conveying system input data'!$B$8</f>
        <v>3010.3112821346672</v>
      </c>
      <c r="D46" s="41">
        <f>'Conveying system input data'!$H$26*'Conveying system input data'!$F$26*L46*N46^2*'Pipe line section data'!F63/(2*'Conveying system input data'!$B$7)</f>
        <v>243.61422228026774</v>
      </c>
      <c r="E46" s="41"/>
      <c r="F46" s="41"/>
      <c r="G46" s="41"/>
      <c r="H46" s="41">
        <f t="shared" si="4"/>
        <v>3255.0062352451669</v>
      </c>
      <c r="I46" s="41">
        <v>25</v>
      </c>
      <c r="J46" s="52">
        <f t="shared" si="5"/>
        <v>103845.47721627186</v>
      </c>
      <c r="K46" s="41">
        <f t="shared" si="0"/>
        <v>100590.47098102669</v>
      </c>
      <c r="L46" s="52">
        <f t="shared" si="6"/>
        <v>1.1730074865308293</v>
      </c>
      <c r="M46" s="41">
        <f t="shared" si="1"/>
        <v>1.1362399085390087</v>
      </c>
      <c r="N46" s="50">
        <f t="shared" si="7"/>
        <v>59.846165353655628</v>
      </c>
      <c r="O46" s="41">
        <f t="shared" si="2"/>
        <v>61.782726933314649</v>
      </c>
      <c r="P46" s="43">
        <f>N46*L46*'pressure drop calculations'!$B$7/[1]Mixtures!$D$3</f>
        <v>23987144.643194269</v>
      </c>
      <c r="Q46" s="37"/>
    </row>
    <row r="47" spans="1:17" x14ac:dyDescent="0.2">
      <c r="A47" s="75"/>
      <c r="B47" s="41">
        <f>0.5*((101^2+0.004567*('Conveying system input data'!$E$26^1.85)*'Pipe line section data'!F62*('Conveying system input data'!$B$7^-5))^0.5-101)</f>
        <v>1.0807308302319996</v>
      </c>
      <c r="C47" s="41">
        <f>'Conveying system input data'!$B$26*N47*0.8/'Conveying system input data'!$B$8</f>
        <v>3107.7219205163624</v>
      </c>
      <c r="D47" s="41">
        <f>'Conveying system input data'!$H$26*'Conveying system input data'!$F$26*L47*N47^2*'Pipe line section data'!F64/(2*'Conveying system input data'!$B$7)</f>
        <v>251.49733292467701</v>
      </c>
      <c r="E47" s="41"/>
      <c r="F47" s="41"/>
      <c r="G47" s="41"/>
      <c r="H47" s="41">
        <f t="shared" si="4"/>
        <v>3360.2999842712711</v>
      </c>
      <c r="I47" s="41">
        <v>25</v>
      </c>
      <c r="J47" s="52">
        <f t="shared" si="5"/>
        <v>100590.47098102669</v>
      </c>
      <c r="K47" s="41">
        <f t="shared" si="0"/>
        <v>97230.17099675542</v>
      </c>
      <c r="L47" s="52">
        <f t="shared" si="6"/>
        <v>1.1362399085390087</v>
      </c>
      <c r="M47" s="41">
        <f t="shared" si="1"/>
        <v>1.0982829638149683</v>
      </c>
      <c r="N47" s="50">
        <f t="shared" si="7"/>
        <v>61.782726933314649</v>
      </c>
      <c r="O47" s="41">
        <f t="shared" si="2"/>
        <v>63.917954036321404</v>
      </c>
      <c r="P47" s="43">
        <f>N47*L47*'pressure drop calculations'!$B$7/[1]Mixtures!$D$3</f>
        <v>23987144.643194269</v>
      </c>
      <c r="Q47" s="37"/>
    </row>
    <row r="48" spans="1:17" x14ac:dyDescent="0.2">
      <c r="A48" s="75"/>
      <c r="B48" s="41">
        <f>0.5*((101^2+0.004567*('Conveying system input data'!$E$26^1.85)*'Pipe line section data'!F63*('Conveying system input data'!$B$7^-5))^0.5-101)</f>
        <v>1.0807308302319996</v>
      </c>
      <c r="C48" s="41">
        <f>'Conveying system input data'!$B$26*N48*0.8/'Conveying system input data'!$B$8</f>
        <v>3215.1255979302291</v>
      </c>
      <c r="D48" s="41">
        <f>'Conveying system input data'!$H$26*'Conveying system input data'!$F$26*L48*N48^2*'Pipe line section data'!F65/(2*'Conveying system input data'!$B$7)</f>
        <v>260.18914612635552</v>
      </c>
      <c r="E48" s="41"/>
      <c r="F48" s="41"/>
      <c r="G48" s="41"/>
      <c r="H48" s="41">
        <f t="shared" si="4"/>
        <v>3476.3954748868164</v>
      </c>
      <c r="I48" s="41">
        <v>25</v>
      </c>
      <c r="J48" s="52">
        <f t="shared" si="5"/>
        <v>97230.17099675542</v>
      </c>
      <c r="K48" s="41">
        <f t="shared" si="0"/>
        <v>93753.775521868607</v>
      </c>
      <c r="L48" s="52">
        <f t="shared" si="6"/>
        <v>1.0982829638149683</v>
      </c>
      <c r="M48" s="41">
        <f t="shared" si="1"/>
        <v>1.0590146391127619</v>
      </c>
      <c r="N48" s="50">
        <f t="shared" si="7"/>
        <v>63.917954036321404</v>
      </c>
      <c r="O48" s="41">
        <f t="shared" si="2"/>
        <v>66.28803550705706</v>
      </c>
      <c r="P48" s="43">
        <f>N48*L48*'pressure drop calculations'!$B$7/[1]Mixtures!$D$3</f>
        <v>23987144.643194269</v>
      </c>
      <c r="Q48" s="37"/>
    </row>
    <row r="49" spans="1:17" x14ac:dyDescent="0.2">
      <c r="A49" s="75">
        <v>14</v>
      </c>
      <c r="B49" s="41">
        <f>0.5*((101^2+0.004567*('Conveying system input data'!$E$26^1.85)*'Pipe line section data'!F64*('Conveying system input data'!$B$7^-5))^0.5-101)</f>
        <v>1.0807308302319996</v>
      </c>
      <c r="C49" s="41">
        <f>'Conveying system input data'!$B$26*N49*0.8/'Conveying system input data'!$B$8</f>
        <v>3334.3426429785136</v>
      </c>
      <c r="D49" s="41">
        <f>'Conveying system input data'!$H$26*'Conveying system input data'!$F$26*L49*N49^2*'Pipe line section data'!F66/(2*'Conveying system input data'!$B$7)</f>
        <v>1644.926198801229</v>
      </c>
      <c r="E49" s="41"/>
      <c r="F49" s="41"/>
      <c r="G49" s="41"/>
      <c r="H49" s="41">
        <f t="shared" si="4"/>
        <v>4980.3495726099745</v>
      </c>
      <c r="I49" s="41">
        <v>25</v>
      </c>
      <c r="J49" s="52">
        <f t="shared" si="5"/>
        <v>93753.775521868607</v>
      </c>
      <c r="K49" s="41">
        <f t="shared" si="0"/>
        <v>88773.425949258628</v>
      </c>
      <c r="L49" s="52">
        <f t="shared" si="6"/>
        <v>1.0590146391127619</v>
      </c>
      <c r="M49" s="41">
        <f t="shared" si="1"/>
        <v>1.0027580982328406</v>
      </c>
      <c r="N49" s="50">
        <f t="shared" si="7"/>
        <v>66.28803550705706</v>
      </c>
      <c r="O49" s="41">
        <f t="shared" si="2"/>
        <v>70.006914054060857</v>
      </c>
      <c r="P49" s="43">
        <f>N49*L49*'pressure drop calculations'!$B$7/[1]Mixtures!$D$3</f>
        <v>23987144.643194269</v>
      </c>
      <c r="Q49" s="37"/>
    </row>
    <row r="50" spans="1:17" x14ac:dyDescent="0.2">
      <c r="A50" s="75">
        <v>15</v>
      </c>
      <c r="B50" s="41">
        <f>0.5*((101^2+0.004567*('Conveying system input data'!$E$26^1.85)*'Pipe line section data'!F65*('Conveying system input data'!$B$7^-5))^0.5-101)</f>
        <v>1.0807308302319996</v>
      </c>
      <c r="C50" s="41">
        <f>'Conveying system input data'!$B$26*N50*0.8/'Conveying system input data'!$B$8</f>
        <v>3521.405289027402</v>
      </c>
      <c r="D50" s="41">
        <f>'Conveying system input data'!$H$26*'Conveying system input data'!$F$26*L50*N50^2*'Pipe line section data'!F67/(2*'Conveying system input data'!$B$7)</f>
        <v>284.97531664290364</v>
      </c>
      <c r="E50" s="41"/>
      <c r="F50" s="41"/>
      <c r="G50" s="41"/>
      <c r="H50" s="41">
        <f t="shared" si="4"/>
        <v>3807.4613365005375</v>
      </c>
      <c r="I50" s="41">
        <v>25</v>
      </c>
      <c r="J50" s="52">
        <f t="shared" si="5"/>
        <v>88773.425949258628</v>
      </c>
      <c r="K50" s="41">
        <f t="shared" si="0"/>
        <v>84965.964612758093</v>
      </c>
      <c r="L50" s="52">
        <f t="shared" si="6"/>
        <v>1.0027580982328406</v>
      </c>
      <c r="M50" s="41">
        <f t="shared" si="1"/>
        <v>0.95975015246462581</v>
      </c>
      <c r="N50" s="50">
        <f t="shared" si="7"/>
        <v>70.006914054060857</v>
      </c>
      <c r="O50" s="41">
        <f t="shared" si="2"/>
        <v>73.14403630958256</v>
      </c>
      <c r="P50" s="43">
        <f>N50*L50*'pressure drop calculations'!$B$7/[1]Mixtures!$D$3</f>
        <v>23987144.643194269</v>
      </c>
      <c r="Q50" s="37"/>
    </row>
    <row r="51" spans="1:17" x14ac:dyDescent="0.2">
      <c r="A51" s="75"/>
      <c r="B51" s="41">
        <f>0.5*((101^2+0.004567*('Conveying system input data'!$E$26^1.85)*'Pipe line section data'!F66*('Conveying system input data'!$B$7^-5))^0.5-101)</f>
        <v>6.2694605400759045</v>
      </c>
      <c r="C51" s="41">
        <f>'Conveying system input data'!$B$26*N51*0.8/'Conveying system input data'!$B$8</f>
        <v>3679.2051156900789</v>
      </c>
      <c r="D51" s="41">
        <f>'Conveying system input data'!$H$26*'Conveying system input data'!$F$26*L51*N51^2*'Pipe line section data'!F68/(2*'Conveying system input data'!$B$7)</f>
        <v>297.74551827505138</v>
      </c>
      <c r="E51" s="41"/>
      <c r="F51" s="41"/>
      <c r="G51" s="41"/>
      <c r="H51" s="41">
        <f t="shared" si="4"/>
        <v>3983.2200945052064</v>
      </c>
      <c r="I51" s="41">
        <v>25</v>
      </c>
      <c r="J51" s="52">
        <f t="shared" si="5"/>
        <v>84965.964612758093</v>
      </c>
      <c r="K51" s="41">
        <f t="shared" si="0"/>
        <v>80982.74451825289</v>
      </c>
      <c r="L51" s="52">
        <f t="shared" si="6"/>
        <v>0.95975015246462581</v>
      </c>
      <c r="M51" s="41">
        <f t="shared" si="1"/>
        <v>0.91475688827437274</v>
      </c>
      <c r="N51" s="50">
        <f t="shared" si="7"/>
        <v>73.14403630958256</v>
      </c>
      <c r="O51" s="41">
        <f t="shared" si="2"/>
        <v>76.741701428920166</v>
      </c>
      <c r="P51" s="43">
        <f>N51*L51*'pressure drop calculations'!$B$7/[1]Mixtures!$D$3</f>
        <v>23987144.643194269</v>
      </c>
      <c r="Q51" s="37"/>
    </row>
    <row r="52" spans="1:17" x14ac:dyDescent="0.2">
      <c r="A52" s="75"/>
      <c r="B52" s="41">
        <f>0.5*((101^2+0.004567*('Conveying system input data'!$E$26^1.85)*'Pipe line section data'!F67*('Conveying system input data'!$B$7^-5))^0.5-101)</f>
        <v>1.0807308302319996</v>
      </c>
      <c r="C52" s="41">
        <f>'Conveying system input data'!$B$26*N52*0.8/'Conveying system input data'!$B$8</f>
        <v>3860.1706267480536</v>
      </c>
      <c r="D52" s="41">
        <f>'Conveying system input data'!$H$26*'Conveying system input data'!$F$26*L52*N52^2*'Pipe line section data'!F69/(2*'Conveying system input data'!$B$7)</f>
        <v>312.39043971476309</v>
      </c>
      <c r="E52" s="41"/>
      <c r="F52" s="41"/>
      <c r="G52" s="41"/>
      <c r="H52" s="41">
        <f t="shared" si="4"/>
        <v>4173.6417972930485</v>
      </c>
      <c r="I52" s="41">
        <v>25</v>
      </c>
      <c r="J52" s="52">
        <f t="shared" si="5"/>
        <v>80982.74451825289</v>
      </c>
      <c r="K52" s="41">
        <f t="shared" si="0"/>
        <v>76809.10272095984</v>
      </c>
      <c r="L52" s="52">
        <f t="shared" si="6"/>
        <v>0.91475688827437274</v>
      </c>
      <c r="M52" s="41">
        <f t="shared" si="1"/>
        <v>0.86761267741840287</v>
      </c>
      <c r="N52" s="50">
        <f t="shared" si="7"/>
        <v>76.741701428920166</v>
      </c>
      <c r="O52" s="41">
        <f t="shared" si="2"/>
        <v>80.911680784657676</v>
      </c>
      <c r="P52" s="43">
        <f>N52*L52*'pressure drop calculations'!$B$7/[1]Mixtures!$D$3</f>
        <v>23987144.643194269</v>
      </c>
      <c r="Q52" s="37"/>
    </row>
    <row r="53" spans="1:17" x14ac:dyDescent="0.2">
      <c r="A53" s="75"/>
      <c r="B53" s="41">
        <f>0.5*((101^2+0.004567*('Conveying system input data'!$E$26^1.85)*'Pipe line section data'!F68*('Conveying system input data'!$B$7^-5))^0.5-101)</f>
        <v>1.0807308302319996</v>
      </c>
      <c r="C53" s="41">
        <f>'Conveying system input data'!$B$26*N53*0.8/'Conveying system input data'!$B$8</f>
        <v>4069.9240140647653</v>
      </c>
      <c r="D53" s="41">
        <f>'Conveying system input data'!$H$26*'Conveying system input data'!$F$26*L53*N53^2*'Pipe line section data'!F70/(2*'Conveying system input data'!$B$7)</f>
        <v>164.68253288462054</v>
      </c>
      <c r="E53" s="41"/>
      <c r="F53" s="41"/>
      <c r="G53" s="41"/>
      <c r="H53" s="41">
        <f t="shared" si="4"/>
        <v>4235.6872777796179</v>
      </c>
      <c r="I53" s="41">
        <v>25</v>
      </c>
      <c r="J53" s="52">
        <f t="shared" si="5"/>
        <v>76809.10272095984</v>
      </c>
      <c r="K53" s="41">
        <f t="shared" si="0"/>
        <v>72573.415443180216</v>
      </c>
      <c r="L53" s="52">
        <f t="shared" si="6"/>
        <v>0.86761267741840287</v>
      </c>
      <c r="M53" s="41">
        <f t="shared" si="1"/>
        <v>0.81976761935110387</v>
      </c>
      <c r="N53" s="50">
        <f t="shared" si="7"/>
        <v>80.911680784657676</v>
      </c>
      <c r="O53" s="41">
        <f t="shared" si="2"/>
        <v>85.634024012277493</v>
      </c>
      <c r="P53" s="43">
        <f>N53*L53*'pressure drop calculations'!$B$7/[1]Mixtures!$D$3</f>
        <v>23987144.643194269</v>
      </c>
      <c r="Q53" s="37"/>
    </row>
    <row r="54" spans="1:17" x14ac:dyDescent="0.2">
      <c r="A54" s="85" t="s">
        <v>52</v>
      </c>
      <c r="B54" s="53"/>
      <c r="C54" s="53"/>
      <c r="D54" s="53"/>
      <c r="E54" s="53"/>
      <c r="F54" s="53"/>
      <c r="G54" s="53"/>
      <c r="H54" s="54">
        <f>SUM(H4:H53)</f>
        <v>127426.58455681977</v>
      </c>
      <c r="I54" s="53"/>
      <c r="J54" s="53"/>
      <c r="K54" s="53">
        <f>J4-K53</f>
        <v>127426.58455681978</v>
      </c>
      <c r="L54" s="53"/>
      <c r="M54" s="53"/>
      <c r="N54" s="53"/>
      <c r="O54" s="53"/>
      <c r="P54" s="54" t="s">
        <v>80</v>
      </c>
      <c r="Q54" s="55" t="s">
        <v>81</v>
      </c>
    </row>
    <row r="56" spans="1:17" x14ac:dyDescent="0.2">
      <c r="B56" s="34" t="s">
        <v>63</v>
      </c>
      <c r="C56" s="88"/>
    </row>
    <row r="57" spans="1:17" x14ac:dyDescent="0.2">
      <c r="B57" s="34" t="s">
        <v>64</v>
      </c>
      <c r="C57" s="87"/>
    </row>
    <row r="58" spans="1:17" x14ac:dyDescent="0.2">
      <c r="B58" s="34" t="s">
        <v>78</v>
      </c>
      <c r="C58" s="89"/>
    </row>
  </sheetData>
  <mergeCells count="2">
    <mergeCell ref="A2:A3"/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B5F22-E17C-134C-97CB-3A3A7DB8E1E4}">
  <dimension ref="A1:Q54"/>
  <sheetViews>
    <sheetView workbookViewId="0">
      <selection activeCell="H26" sqref="H26"/>
    </sheetView>
  </sheetViews>
  <sheetFormatPr baseColWidth="10" defaultRowHeight="16" x14ac:dyDescent="0.2"/>
  <cols>
    <col min="16" max="16" width="12.33203125" customWidth="1"/>
  </cols>
  <sheetData>
    <row r="1" spans="1:17" x14ac:dyDescent="0.2">
      <c r="A1" s="74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7"/>
    </row>
    <row r="2" spans="1:17" ht="51" x14ac:dyDescent="0.2">
      <c r="A2" s="149" t="s">
        <v>36</v>
      </c>
      <c r="B2" s="151" t="s">
        <v>51</v>
      </c>
      <c r="C2" s="152"/>
      <c r="D2" s="152"/>
      <c r="E2" s="152"/>
      <c r="F2" s="152"/>
      <c r="G2" s="152"/>
      <c r="H2" s="153"/>
      <c r="I2" s="38" t="s">
        <v>44</v>
      </c>
      <c r="J2" s="38" t="s">
        <v>47</v>
      </c>
      <c r="K2" s="38" t="s">
        <v>48</v>
      </c>
      <c r="L2" s="38" t="s">
        <v>45</v>
      </c>
      <c r="M2" s="38" t="s">
        <v>46</v>
      </c>
      <c r="N2" s="38" t="s">
        <v>49</v>
      </c>
      <c r="O2" s="38" t="s">
        <v>50</v>
      </c>
      <c r="P2" s="39" t="s">
        <v>79</v>
      </c>
      <c r="Q2" s="40"/>
    </row>
    <row r="3" spans="1:17" ht="68" x14ac:dyDescent="0.2">
      <c r="A3" s="150"/>
      <c r="B3" s="38" t="s">
        <v>37</v>
      </c>
      <c r="C3" s="38" t="s">
        <v>38</v>
      </c>
      <c r="D3" s="38" t="s">
        <v>39</v>
      </c>
      <c r="E3" s="38" t="s">
        <v>40</v>
      </c>
      <c r="F3" s="38" t="s">
        <v>41</v>
      </c>
      <c r="G3" s="38" t="s">
        <v>42</v>
      </c>
      <c r="H3" s="38" t="s">
        <v>43</v>
      </c>
      <c r="I3" s="38" t="s">
        <v>23</v>
      </c>
      <c r="J3" s="38" t="s">
        <v>12</v>
      </c>
      <c r="K3" s="38" t="s">
        <v>12</v>
      </c>
      <c r="L3" s="38" t="s">
        <v>6</v>
      </c>
      <c r="M3" s="38" t="s">
        <v>6</v>
      </c>
      <c r="N3" s="38" t="s">
        <v>7</v>
      </c>
      <c r="O3" s="38" t="s">
        <v>7</v>
      </c>
      <c r="P3" s="39"/>
      <c r="Q3" s="40"/>
    </row>
    <row r="4" spans="1:17" x14ac:dyDescent="0.2">
      <c r="A4" s="75">
        <v>1</v>
      </c>
      <c r="B4" s="41">
        <f>0.5*((101^2+0.004567*('Conveying system input data'!$E$26^1.85)*'Pipe line section data'!F21*('Conveying system input data'!$B$7^-5))^0.5-101)</f>
        <v>1.0807308302319996</v>
      </c>
      <c r="C4" s="41">
        <f>'Conveying system input data'!$B$26*N4*0.8/'Conveying system input data'!$B$8</f>
        <v>1106.6180734488328</v>
      </c>
      <c r="D4" s="41">
        <f>'Conveying system input data'!$H$26*'Conveying system input data'!$F$26*L4*N4^2*'Pipe line section data'!F21/(2*'Conveying system input data'!$B$7)</f>
        <v>98.510307959478354</v>
      </c>
      <c r="E4" s="41"/>
      <c r="F4" s="41"/>
      <c r="G4" s="41"/>
      <c r="H4" s="41">
        <f>SUM(B4:G4)</f>
        <v>1206.209112238543</v>
      </c>
      <c r="I4" s="41">
        <v>25</v>
      </c>
      <c r="J4" s="42">
        <v>300000</v>
      </c>
      <c r="K4" s="41">
        <f t="shared" ref="K4:K53" si="0">J4-H4</f>
        <v>298793.79088776145</v>
      </c>
      <c r="L4" s="42">
        <v>3.51</v>
      </c>
      <c r="M4" s="41">
        <f t="shared" ref="M4:M53" si="1">28*K4/8.314/(25+273.15)/1000</f>
        <v>3.3750853964524161</v>
      </c>
      <c r="N4" s="42">
        <v>22</v>
      </c>
      <c r="O4" s="41">
        <f t="shared" ref="O4:O53" si="2">N4*L4/M4</f>
        <v>22.879421089957209</v>
      </c>
      <c r="P4" s="43">
        <f>N4*L4*'pressure drop calculations'!$B$7/[1]Mixtures!$D$3</f>
        <v>26385859.107513696</v>
      </c>
      <c r="Q4" s="37"/>
    </row>
    <row r="5" spans="1:17" x14ac:dyDescent="0.2">
      <c r="A5" s="75"/>
      <c r="B5" s="41">
        <f>0.5*((101^2+0.004567*('Conveying system input data'!$E$26^1.85)*'Pipe line section data'!F22*('Conveying system input data'!$B$7^-5))^0.5-101)</f>
        <v>1.0807308302319996</v>
      </c>
      <c r="C5" s="41">
        <f>'Conveying system input data'!$B$26*N5*0.8/'Conveying system input data'!$B$8</f>
        <v>1150.8536767360474</v>
      </c>
      <c r="D5" s="41">
        <f>'Conveying system input data'!$H$26*'Conveying system input data'!$F$26*L5*N5^2*'Pipe line section data'!F22/(2*'Conveying system input data'!$B$7)</f>
        <v>102.44812806846676</v>
      </c>
      <c r="E5" s="41"/>
      <c r="F5" s="41"/>
      <c r="G5" s="41"/>
      <c r="H5" s="41">
        <f t="shared" ref="H5:H6" si="3">SUM(B5:G5)</f>
        <v>1254.3825356347461</v>
      </c>
      <c r="I5" s="41">
        <v>25</v>
      </c>
      <c r="J5" s="41">
        <f>K4</f>
        <v>298793.79088776145</v>
      </c>
      <c r="K5" s="41">
        <f t="shared" si="0"/>
        <v>297539.40835212672</v>
      </c>
      <c r="L5" s="41">
        <f>M4</f>
        <v>3.3750853964524161</v>
      </c>
      <c r="M5" s="41">
        <f t="shared" si="1"/>
        <v>3.3609162660799039</v>
      </c>
      <c r="N5" s="41">
        <f>O4</f>
        <v>22.879421089957209</v>
      </c>
      <c r="O5" s="41">
        <f t="shared" si="2"/>
        <v>22.975877375864425</v>
      </c>
      <c r="P5" s="43">
        <f>N5*L5*'pressure drop calculations'!$B$7/[1]Mixtures!$D$3</f>
        <v>26385859.107513696</v>
      </c>
      <c r="Q5" s="37"/>
    </row>
    <row r="6" spans="1:17" x14ac:dyDescent="0.2">
      <c r="A6" s="75"/>
      <c r="B6" s="41">
        <f>0.5*((101^2+0.004567*('Conveying system input data'!$E$26^1.85)*'Pipe line section data'!F23*('Conveying system input data'!$B$7^-5))^0.5-101)</f>
        <v>1.0807308302319996</v>
      </c>
      <c r="C6" s="41">
        <f>'Conveying system input data'!$B$26*N6*0.8/'Conveying system input data'!$B$8</f>
        <v>1155.7055071579871</v>
      </c>
      <c r="D6" s="41">
        <f>'Conveying system input data'!$H$26*'Conveying system input data'!$F$26*L6*N6^2*'Pipe line section data'!F23/(2*'Conveying system input data'!$B$7)</f>
        <v>102.88003436070981</v>
      </c>
      <c r="E6" s="41"/>
      <c r="F6" s="41"/>
      <c r="G6" s="41"/>
      <c r="H6" s="41">
        <f t="shared" si="3"/>
        <v>1259.6662723489287</v>
      </c>
      <c r="I6" s="41">
        <v>25</v>
      </c>
      <c r="J6" s="41">
        <f>K5</f>
        <v>297539.40835212672</v>
      </c>
      <c r="K6" s="41">
        <f t="shared" si="0"/>
        <v>296279.74207977776</v>
      </c>
      <c r="L6" s="41">
        <f>M5</f>
        <v>3.3609162660799039</v>
      </c>
      <c r="M6" s="41">
        <f t="shared" si="1"/>
        <v>3.3466874521959986</v>
      </c>
      <c r="N6" s="41">
        <f>O5</f>
        <v>22.975877375864425</v>
      </c>
      <c r="O6" s="41">
        <f t="shared" si="2"/>
        <v>23.07356187364628</v>
      </c>
      <c r="P6" s="43">
        <f>N6*L6*'pressure drop calculations'!$B$7/[1]Mixtures!$D$3</f>
        <v>26385859.107513696</v>
      </c>
      <c r="Q6" s="37"/>
    </row>
    <row r="7" spans="1:17" x14ac:dyDescent="0.2">
      <c r="A7" s="76">
        <v>2</v>
      </c>
      <c r="B7" s="44">
        <f>0.5*((101^2+0.004567*('Conveying system input data'!$E$26^1.85)*'Pipe line section data'!F24*('Conveying system input data'!$B$7^-5))^0.5-101)</f>
        <v>6.2694605400759045</v>
      </c>
      <c r="C7" s="44">
        <f>'Conveying system input data'!$B$26*N7*0.8/'Conveying system input data'!$B$8</f>
        <v>1160.6191176462223</v>
      </c>
      <c r="D7" s="44">
        <f>'Conveying system input data'!$H$26*'Conveying system input data'!$F$26*L7*N7^2*'Pipe line section data'!F24/(2*'Conveying system input data'!$B$7)</f>
        <v>629.82311587344361</v>
      </c>
      <c r="E7" s="44"/>
      <c r="F7" s="44"/>
      <c r="G7" s="44"/>
      <c r="H7" s="44">
        <f t="shared" ref="H7:H53" si="4">SUM(B7:G7)</f>
        <v>1796.7116940597418</v>
      </c>
      <c r="I7" s="44">
        <v>25</v>
      </c>
      <c r="J7" s="44">
        <f>K6</f>
        <v>296279.74207977776</v>
      </c>
      <c r="K7" s="41">
        <f t="shared" si="0"/>
        <v>294483.03038571804</v>
      </c>
      <c r="L7" s="44">
        <f>M6</f>
        <v>3.3466874521959986</v>
      </c>
      <c r="M7" s="41">
        <f t="shared" si="1"/>
        <v>3.3263923336721528</v>
      </c>
      <c r="N7" s="44">
        <f>O6</f>
        <v>23.07356187364628</v>
      </c>
      <c r="O7" s="41">
        <f t="shared" si="2"/>
        <v>23.214339216190233</v>
      </c>
      <c r="P7" s="43">
        <f>N7*L7*'pressure drop calculations'!$B$7/[1]Mixtures!$D$3</f>
        <v>26385859.107513696</v>
      </c>
      <c r="Q7" s="37"/>
    </row>
    <row r="8" spans="1:17" x14ac:dyDescent="0.2">
      <c r="A8" s="77">
        <f>A7+1</f>
        <v>3</v>
      </c>
      <c r="B8" s="45">
        <f>0.5*((101^2+0.004567*('Conveying system input data'!$E$26^1.85)*'Pipe line section data'!F25*('Conveying system input data'!$B$7^-5))^0.5-101)</f>
        <v>1.0807308302319996</v>
      </c>
      <c r="C8" s="45">
        <f>'Conveying system input data'!$B$26*N8*0.8/'Conveying system input data'!$B$8</f>
        <v>1167.7003336276421</v>
      </c>
      <c r="D8" s="45">
        <f>'Conveying system input data'!$H$26*'Conveying system input data'!$F$26*L8*N8^2*'Pipe line section data'!F25/(2*'Conveying system input data'!$B$7)</f>
        <v>103.94780478466798</v>
      </c>
      <c r="E8" s="45"/>
      <c r="F8" s="45"/>
      <c r="G8" s="45"/>
      <c r="H8" s="45">
        <f t="shared" si="4"/>
        <v>1272.728869242542</v>
      </c>
      <c r="I8" s="45">
        <v>25</v>
      </c>
      <c r="J8" s="45">
        <f>K7</f>
        <v>294483.03038571804</v>
      </c>
      <c r="K8" s="41">
        <f t="shared" si="0"/>
        <v>293210.30151647551</v>
      </c>
      <c r="L8" s="45">
        <f>M7</f>
        <v>3.3263923336721528</v>
      </c>
      <c r="M8" s="41">
        <f t="shared" si="1"/>
        <v>3.3120159685962216</v>
      </c>
      <c r="N8" s="45">
        <f>O7</f>
        <v>23.214339216190233</v>
      </c>
      <c r="O8" s="41">
        <f t="shared" si="2"/>
        <v>23.315104979016525</v>
      </c>
      <c r="P8" s="43">
        <f>N8*L8*'pressure drop calculations'!$B$7/[1]Mixtures!$D$3</f>
        <v>26385859.107513696</v>
      </c>
      <c r="Q8" s="37"/>
    </row>
    <row r="9" spans="1:17" x14ac:dyDescent="0.2">
      <c r="A9" s="77"/>
      <c r="B9" s="45">
        <f>0.5*((101^2+0.004567*('Conveying system input data'!$E$26^1.85)*'Pipe line section data'!F26*('Conveying system input data'!$B$7^-5))^0.5-101)</f>
        <v>1.0807308302319996</v>
      </c>
      <c r="C9" s="45">
        <f>'Conveying system input data'!$B$26*N9*0.8/'Conveying system input data'!$B$8</f>
        <v>1172.7689342789345</v>
      </c>
      <c r="D9" s="45">
        <f>'Conveying system input data'!$H$26*'Conveying system input data'!$F$26*L9*N9^2*'Pipe line section data'!F26/(2*'Conveying system input data'!$B$7)</f>
        <v>104.3990077995675</v>
      </c>
      <c r="E9" s="45"/>
      <c r="F9" s="45"/>
      <c r="G9" s="45"/>
      <c r="H9" s="45">
        <f t="shared" si="4"/>
        <v>1278.2486729087339</v>
      </c>
      <c r="I9" s="45">
        <v>25</v>
      </c>
      <c r="J9" s="45">
        <f t="shared" ref="J9:J53" si="5">K8</f>
        <v>293210.30151647551</v>
      </c>
      <c r="K9" s="41">
        <f t="shared" si="0"/>
        <v>291932.05284356675</v>
      </c>
      <c r="L9" s="45">
        <f t="shared" ref="L9:L53" si="6">M8</f>
        <v>3.3120159685962216</v>
      </c>
      <c r="M9" s="41">
        <f t="shared" si="1"/>
        <v>3.2975772534671326</v>
      </c>
      <c r="N9" s="45">
        <f t="shared" ref="N9:N53" si="7">O8</f>
        <v>23.315104979016525</v>
      </c>
      <c r="O9" s="41">
        <f t="shared" si="2"/>
        <v>23.417192097261555</v>
      </c>
      <c r="P9" s="43">
        <f>N9*L9*'pressure drop calculations'!$B$7/[1]Mixtures!$D$3</f>
        <v>26385859.107513696</v>
      </c>
      <c r="Q9" s="37"/>
    </row>
    <row r="10" spans="1:17" x14ac:dyDescent="0.2">
      <c r="A10" s="77"/>
      <c r="B10" s="45">
        <f>0.5*((101^2+0.004567*('Conveying system input data'!$E$26^1.85)*'Pipe line section data'!F27*('Conveying system input data'!$B$7^-5))^0.5-101)</f>
        <v>1.0807308302319996</v>
      </c>
      <c r="C10" s="45">
        <f>'Conveying system input data'!$B$26*N10*0.8/'Conveying system input data'!$B$8</f>
        <v>1177.9040001933099</v>
      </c>
      <c r="D10" s="45">
        <f>'Conveying system input data'!$H$26*'Conveying system input data'!$F$26*L10*N10^2*'Pipe line section data'!F27/(2*'Conveying system input data'!$B$7)</f>
        <v>104.85612750215905</v>
      </c>
      <c r="E10" s="45"/>
      <c r="F10" s="45"/>
      <c r="G10" s="45"/>
      <c r="H10" s="45">
        <f t="shared" si="4"/>
        <v>1283.8408585257009</v>
      </c>
      <c r="I10" s="45">
        <v>25</v>
      </c>
      <c r="J10" s="45">
        <f t="shared" si="5"/>
        <v>291932.05284356675</v>
      </c>
      <c r="K10" s="41">
        <f t="shared" si="0"/>
        <v>290648.21198504104</v>
      </c>
      <c r="L10" s="45">
        <f t="shared" si="6"/>
        <v>3.2975772534671326</v>
      </c>
      <c r="M10" s="41">
        <f t="shared" si="1"/>
        <v>3.2830753706799944</v>
      </c>
      <c r="N10" s="45">
        <f t="shared" si="7"/>
        <v>23.417192097261555</v>
      </c>
      <c r="O10" s="41">
        <f t="shared" si="2"/>
        <v>23.520629678387827</v>
      </c>
      <c r="P10" s="43">
        <f>N10*L10*'pressure drop calculations'!$B$7/[1]Mixtures!$D$3</f>
        <v>26385859.107513696</v>
      </c>
      <c r="Q10" s="37"/>
    </row>
    <row r="11" spans="1:17" x14ac:dyDescent="0.2">
      <c r="A11" s="77"/>
      <c r="B11" s="45">
        <f>0.5*((101^2+0.004567*('Conveying system input data'!$E$26^1.85)*'Pipe line section data'!F28*('Conveying system input data'!$B$7^-5))^0.5-101)</f>
        <v>1.0807308302319996</v>
      </c>
      <c r="C11" s="45">
        <f>'Conveying system input data'!$B$26*N11*0.8/'Conveying system input data'!$B$8</f>
        <v>1183.1069955000446</v>
      </c>
      <c r="D11" s="45">
        <f>'Conveying system input data'!$H$26*'Conveying system input data'!$F$26*L11*N11^2*'Pipe line section data'!F28/(2*'Conveying system input data'!$B$7)</f>
        <v>105.3192942281287</v>
      </c>
      <c r="E11" s="45"/>
      <c r="F11" s="45"/>
      <c r="G11" s="45"/>
      <c r="H11" s="45">
        <f t="shared" si="4"/>
        <v>1289.5070205584052</v>
      </c>
      <c r="I11" s="45">
        <v>25</v>
      </c>
      <c r="J11" s="45">
        <f t="shared" si="5"/>
        <v>290648.21198504104</v>
      </c>
      <c r="K11" s="41">
        <f t="shared" si="0"/>
        <v>289358.70496448263</v>
      </c>
      <c r="L11" s="45">
        <f t="shared" si="6"/>
        <v>3.2830753706799944</v>
      </c>
      <c r="M11" s="41">
        <f t="shared" si="1"/>
        <v>3.2685094846193152</v>
      </c>
      <c r="N11" s="45">
        <f t="shared" si="7"/>
        <v>23.520629678387827</v>
      </c>
      <c r="O11" s="41">
        <f t="shared" si="2"/>
        <v>23.625447734931033</v>
      </c>
      <c r="P11" s="43">
        <f>N11*L11*'pressure drop calculations'!$B$7/[1]Mixtures!$D$3</f>
        <v>26385859.107513696</v>
      </c>
      <c r="Q11" s="37"/>
    </row>
    <row r="12" spans="1:17" x14ac:dyDescent="0.2">
      <c r="A12" s="77"/>
      <c r="B12" s="45">
        <f>0.5*((101^2+0.004567*('Conveying system input data'!$E$26^1.85)*'Pipe line section data'!F29*('Conveying system input data'!$B$7^-5))^0.5-101)</f>
        <v>1.0807308302319996</v>
      </c>
      <c r="C12" s="45">
        <f>'Conveying system input data'!$B$26*N12*0.8/'Conveying system input data'!$B$8</f>
        <v>1188.3794298543396</v>
      </c>
      <c r="D12" s="45">
        <f>'Conveying system input data'!$H$26*'Conveying system input data'!$F$26*L12*N12^2*'Pipe line section data'!F29/(2*'Conveying system input data'!$B$7)</f>
        <v>105.7886423658462</v>
      </c>
      <c r="E12" s="45"/>
      <c r="F12" s="45"/>
      <c r="G12" s="45"/>
      <c r="H12" s="45">
        <f t="shared" si="4"/>
        <v>1295.2488030504178</v>
      </c>
      <c r="I12" s="45">
        <v>25</v>
      </c>
      <c r="J12" s="45">
        <f t="shared" si="5"/>
        <v>289358.70496448263</v>
      </c>
      <c r="K12" s="41">
        <f t="shared" si="0"/>
        <v>288063.4561614322</v>
      </c>
      <c r="L12" s="45">
        <f t="shared" si="6"/>
        <v>3.2685094846193152</v>
      </c>
      <c r="M12" s="41">
        <f t="shared" si="1"/>
        <v>3.2538787410989785</v>
      </c>
      <c r="N12" s="45">
        <f t="shared" si="7"/>
        <v>23.625447734931033</v>
      </c>
      <c r="O12" s="41">
        <f t="shared" si="2"/>
        <v>23.731677220989308</v>
      </c>
      <c r="P12" s="43">
        <f>N12*L12*'pressure drop calculations'!$B$7/[1]Mixtures!$D$3</f>
        <v>26385859.107513696</v>
      </c>
      <c r="Q12" s="37"/>
    </row>
    <row r="13" spans="1:17" x14ac:dyDescent="0.2">
      <c r="A13" s="77"/>
      <c r="B13" s="45">
        <f>0.5*((101^2+0.004567*('Conveying system input data'!$E$26^1.85)*'Pipe line section data'!F30*('Conveying system input data'!$B$7^-5))^0.5-101)</f>
        <v>1.0807308302319996</v>
      </c>
      <c r="C13" s="45">
        <f>'Conveying system input data'!$B$26*N13*0.8/'Conveying system input data'!$B$8</f>
        <v>1193.722860272761</v>
      </c>
      <c r="D13" s="45">
        <f>'Conveying system input data'!$H$26*'Conveying system input data'!$F$26*L13*N13^2*'Pipe line section data'!F30/(2*'Conveying system input data'!$B$7)</f>
        <v>106.26431051975429</v>
      </c>
      <c r="E13" s="45"/>
      <c r="F13" s="45"/>
      <c r="G13" s="45"/>
      <c r="H13" s="45">
        <f t="shared" si="4"/>
        <v>1301.0679016227471</v>
      </c>
      <c r="I13" s="45">
        <v>25</v>
      </c>
      <c r="J13" s="45">
        <f t="shared" si="5"/>
        <v>288063.4561614322</v>
      </c>
      <c r="K13" s="41">
        <f t="shared" si="0"/>
        <v>286762.38825980946</v>
      </c>
      <c r="L13" s="45">
        <f t="shared" si="6"/>
        <v>3.2538787410989785</v>
      </c>
      <c r="M13" s="41">
        <f t="shared" si="1"/>
        <v>3.2391822667796393</v>
      </c>
      <c r="N13" s="45">
        <f t="shared" si="7"/>
        <v>23.731677220989308</v>
      </c>
      <c r="O13" s="41">
        <f t="shared" si="2"/>
        <v>23.839350070526073</v>
      </c>
      <c r="P13" s="43">
        <f>N13*L13*'pressure drop calculations'!$B$7/[1]Mixtures!$D$3</f>
        <v>26385859.107513696</v>
      </c>
      <c r="Q13" s="37"/>
    </row>
    <row r="14" spans="1:17" x14ac:dyDescent="0.2">
      <c r="A14" s="77"/>
      <c r="B14" s="45">
        <f>0.5*((101^2+0.004567*('Conveying system input data'!$E$26^1.85)*'Pipe line section data'!F31*('Conveying system input data'!$B$7^-5))^0.5-101)</f>
        <v>1.0807308302319996</v>
      </c>
      <c r="C14" s="45">
        <f>'Conveying system input data'!$B$26*N14*0.8/'Conveying system input data'!$B$8</f>
        <v>1199.138893059903</v>
      </c>
      <c r="D14" s="45">
        <f>'Conveying system input data'!$H$26*'Conveying system input data'!$F$26*L14*N14^2*'Pipe line section data'!F31/(2*'Conveying system input data'!$B$7)</f>
        <v>106.74644168187889</v>
      </c>
      <c r="E14" s="45"/>
      <c r="F14" s="45"/>
      <c r="G14" s="45"/>
      <c r="H14" s="45">
        <f t="shared" si="4"/>
        <v>1306.9660655720138</v>
      </c>
      <c r="I14" s="45">
        <v>25</v>
      </c>
      <c r="J14" s="45">
        <f t="shared" si="5"/>
        <v>286762.38825980946</v>
      </c>
      <c r="K14" s="41">
        <f t="shared" si="0"/>
        <v>285455.42219423747</v>
      </c>
      <c r="L14" s="45">
        <f t="shared" si="6"/>
        <v>3.2391822667796393</v>
      </c>
      <c r="M14" s="41">
        <f t="shared" si="1"/>
        <v>3.2244191685624219</v>
      </c>
      <c r="N14" s="45">
        <f t="shared" si="7"/>
        <v>23.839350070526073</v>
      </c>
      <c r="O14" s="41">
        <f t="shared" si="2"/>
        <v>23.948499237593801</v>
      </c>
      <c r="P14" s="43">
        <f>N14*L14*'pressure drop calculations'!$B$7/[1]Mixtures!$D$3</f>
        <v>26385859.107513696</v>
      </c>
      <c r="Q14" s="37"/>
    </row>
    <row r="15" spans="1:17" x14ac:dyDescent="0.2">
      <c r="A15" s="77"/>
      <c r="B15" s="45">
        <f>0.5*((101^2+0.004567*('Conveying system input data'!$E$26^1.85)*'Pipe line section data'!F32*('Conveying system input data'!$B$7^-5))^0.5-101)</f>
        <v>1.0807308302319996</v>
      </c>
      <c r="C15" s="45">
        <f>'Conveying system input data'!$B$26*N15*0.8/'Conveying system input data'!$B$8</f>
        <v>1204.629185831677</v>
      </c>
      <c r="D15" s="45">
        <f>'Conveying system input data'!$H$26*'Conveying system input data'!$F$26*L15*N15^2*'Pipe line section data'!F32/(2*'Conveying system input data'!$B$7)</f>
        <v>107.2351834119408</v>
      </c>
      <c r="E15" s="45"/>
      <c r="F15" s="45"/>
      <c r="G15" s="45"/>
      <c r="H15" s="45">
        <f t="shared" si="4"/>
        <v>1312.9451000738497</v>
      </c>
      <c r="I15" s="45">
        <v>25</v>
      </c>
      <c r="J15" s="45">
        <f t="shared" si="5"/>
        <v>285455.42219423747</v>
      </c>
      <c r="K15" s="41">
        <f t="shared" si="0"/>
        <v>284142.47709416359</v>
      </c>
      <c r="L15" s="45">
        <f t="shared" si="6"/>
        <v>3.2244191685624219</v>
      </c>
      <c r="M15" s="41">
        <f t="shared" si="1"/>
        <v>3.2095885329577221</v>
      </c>
      <c r="N15" s="45">
        <f t="shared" si="7"/>
        <v>23.948499237593801</v>
      </c>
      <c r="O15" s="41">
        <f t="shared" si="2"/>
        <v>24.059158738593727</v>
      </c>
      <c r="P15" s="43">
        <f>N15*L15*'pressure drop calculations'!$B$7/[1]Mixtures!$D$3</f>
        <v>26385859.107513696</v>
      </c>
      <c r="Q15" s="37"/>
    </row>
    <row r="16" spans="1:17" x14ac:dyDescent="0.2">
      <c r="A16" s="77"/>
      <c r="B16" s="45">
        <f>0.5*((101^2+0.004567*('Conveying system input data'!$E$26^1.85)*'Pipe line section data'!F33*('Conveying system input data'!$B$7^-5))^0.5-101)</f>
        <v>1.0807308302319996</v>
      </c>
      <c r="C16" s="45">
        <f>'Conveying system input data'!$B$26*N16*0.8/'Conveying system input data'!$B$8</f>
        <v>1210.1954496410108</v>
      </c>
      <c r="D16" s="45">
        <f>'Conveying system input data'!$H$26*'Conveying system input data'!$F$26*L16*N16^2*'Pipe line section data'!F33/(2*'Conveying system input data'!$B$7)</f>
        <v>107.73068802658378</v>
      </c>
      <c r="E16" s="45"/>
      <c r="F16" s="45"/>
      <c r="G16" s="45"/>
      <c r="H16" s="45">
        <f t="shared" si="4"/>
        <v>1319.0068684978264</v>
      </c>
      <c r="I16" s="45">
        <v>25</v>
      </c>
      <c r="J16" s="45">
        <f t="shared" si="5"/>
        <v>284142.47709416359</v>
      </c>
      <c r="K16" s="41">
        <f t="shared" si="0"/>
        <v>282823.47022566578</v>
      </c>
      <c r="L16" s="45">
        <f t="shared" si="6"/>
        <v>3.2095885329577221</v>
      </c>
      <c r="M16" s="41">
        <f t="shared" si="1"/>
        <v>3.194689425427875</v>
      </c>
      <c r="N16" s="45">
        <f t="shared" si="7"/>
        <v>24.059158738593727</v>
      </c>
      <c r="O16" s="41">
        <f t="shared" si="2"/>
        <v>24.17136369669414</v>
      </c>
      <c r="P16" s="43">
        <f>N16*L16*'pressure drop calculations'!$B$7/[1]Mixtures!$D$3</f>
        <v>26385859.107513696</v>
      </c>
      <c r="Q16" s="37"/>
    </row>
    <row r="17" spans="1:17" x14ac:dyDescent="0.2">
      <c r="A17" s="77"/>
      <c r="B17" s="45">
        <f>0.5*((101^2+0.004567*('Conveying system input data'!$E$26^1.85)*'Pipe line section data'!F34*('Conveying system input data'!$B$7^-5))^0.5-101)</f>
        <v>1.0807308302319996</v>
      </c>
      <c r="C17" s="45">
        <v>651.51342253896314</v>
      </c>
      <c r="D17" s="45">
        <f>'Conveying system input data'!$H$26*'Conveying system input data'!$F$26*L17*N17^2*'Pipe line section data'!F34/(2*'Conveying system input data'!$B$7)</f>
        <v>108.23311279826795</v>
      </c>
      <c r="E17" s="45"/>
      <c r="F17" s="45"/>
      <c r="G17" s="45"/>
      <c r="H17" s="45">
        <f t="shared" si="4"/>
        <v>760.82726616746311</v>
      </c>
      <c r="I17" s="45">
        <v>25</v>
      </c>
      <c r="J17" s="45">
        <f t="shared" si="5"/>
        <v>282823.47022566578</v>
      </c>
      <c r="K17" s="41">
        <f t="shared" si="0"/>
        <v>282062.64295949833</v>
      </c>
      <c r="L17" s="45">
        <f t="shared" si="6"/>
        <v>3.194689425427875</v>
      </c>
      <c r="M17" s="41">
        <f t="shared" si="1"/>
        <v>3.1860953479283558</v>
      </c>
      <c r="N17" s="45">
        <f t="shared" si="7"/>
        <v>24.17136369669414</v>
      </c>
      <c r="O17" s="41">
        <f t="shared" si="2"/>
        <v>24.236562804126226</v>
      </c>
      <c r="P17" s="43">
        <f>N17*L17*'pressure drop calculations'!$B$7/[1]Mixtures!$D$3</f>
        <v>26385859.107513696</v>
      </c>
      <c r="Q17" s="37"/>
    </row>
    <row r="18" spans="1:17" x14ac:dyDescent="0.2">
      <c r="A18" s="77"/>
      <c r="B18" s="45">
        <f>0.5*((101^2+0.004567*('Conveying system input data'!$E$26^1.85)*'Pipe line section data'!F35*('Conveying system input data'!$B$7^-5))^0.5-101)</f>
        <v>0.54322576493792951</v>
      </c>
      <c r="C18" s="45">
        <f>'Conveying system input data'!$B$26*N18*0.8/'Conveying system input data'!$B$8</f>
        <v>1219.1190198783549</v>
      </c>
      <c r="D18" s="45">
        <f>'Conveying system input data'!$H$26*'Conveying system input data'!$F$26*L18*N18^2*'Pipe line section data'!F35/(2*'Conveying system input data'!$B$7)</f>
        <v>54.262528766220754</v>
      </c>
      <c r="E18" s="45"/>
      <c r="F18" s="45"/>
      <c r="G18" s="45"/>
      <c r="H18" s="45">
        <f t="shared" si="4"/>
        <v>1273.9247744095137</v>
      </c>
      <c r="I18" s="45">
        <v>25</v>
      </c>
      <c r="J18" s="45">
        <f t="shared" si="5"/>
        <v>282062.64295949833</v>
      </c>
      <c r="K18" s="41">
        <f t="shared" si="0"/>
        <v>280788.71818508883</v>
      </c>
      <c r="L18" s="45">
        <f t="shared" si="6"/>
        <v>3.1860953479283558</v>
      </c>
      <c r="M18" s="41">
        <f t="shared" si="1"/>
        <v>3.1717054742649382</v>
      </c>
      <c r="N18" s="45">
        <f t="shared" si="7"/>
        <v>24.236562804126226</v>
      </c>
      <c r="O18" s="41">
        <f t="shared" si="2"/>
        <v>24.346522912218447</v>
      </c>
      <c r="P18" s="43">
        <f>N18*L18*'pressure drop calculations'!$B$7/[1]Mixtures!$D$3</f>
        <v>26385859.107513696</v>
      </c>
      <c r="Q18" s="37"/>
    </row>
    <row r="19" spans="1:17" x14ac:dyDescent="0.2">
      <c r="A19" s="78">
        <f>A8+1</f>
        <v>4</v>
      </c>
      <c r="B19" s="46">
        <f>0.5*((101^2+0.004567*('Conveying system input data'!$E$26^1.85)*'Pipe line section data'!F36*('Conveying system input data'!$B$7^-5))^0.5-101)</f>
        <v>6.2694605400759045</v>
      </c>
      <c r="C19" s="46">
        <f>'Conveying system input data'!$B$26*N19*0.8/'Conveying system input data'!$B$8</f>
        <v>1224.6501036498657</v>
      </c>
      <c r="D19" s="46">
        <f>'Conveying system input data'!$H$26*'Conveying system input data'!$F$26*L19*N19^2*'Pipe line section data'!F36/(2*'Conveying system input data'!$B$7)</f>
        <v>664.57025600245561</v>
      </c>
      <c r="E19" s="46"/>
      <c r="F19" s="46"/>
      <c r="G19" s="46"/>
      <c r="H19" s="46">
        <f t="shared" si="4"/>
        <v>1895.4898201923972</v>
      </c>
      <c r="I19" s="46">
        <v>25</v>
      </c>
      <c r="J19" s="46">
        <f t="shared" si="5"/>
        <v>280788.71818508883</v>
      </c>
      <c r="K19" s="41">
        <f t="shared" si="0"/>
        <v>278893.22836489644</v>
      </c>
      <c r="L19" s="46">
        <f t="shared" si="6"/>
        <v>3.1717054742649382</v>
      </c>
      <c r="M19" s="41">
        <f t="shared" si="1"/>
        <v>3.150294587538518</v>
      </c>
      <c r="N19" s="46">
        <f t="shared" si="7"/>
        <v>24.346522912218447</v>
      </c>
      <c r="O19" s="41">
        <f t="shared" si="2"/>
        <v>24.511993356258099</v>
      </c>
      <c r="P19" s="43">
        <f>N19*L19*'pressure drop calculations'!$B$7/[1]Mixtures!$D$3</f>
        <v>26385859.107513696</v>
      </c>
      <c r="Q19" s="37"/>
    </row>
    <row r="20" spans="1:17" x14ac:dyDescent="0.2">
      <c r="A20" s="79">
        <f t="shared" ref="A20:A28" si="8">A19+1</f>
        <v>5</v>
      </c>
      <c r="B20" s="47">
        <f>0.5*((101^2+0.004567*('Conveying system input data'!$E$26^1.85)*'Pipe line section data'!F37*('Conveying system input data'!$B$7^-5))^0.5-101)</f>
        <v>1.0807308302319996</v>
      </c>
      <c r="C20" s="47">
        <f>'Conveying system input data'!$B$26*N20*0.8/'Conveying system input data'!$B$8</f>
        <v>1232.9734029224057</v>
      </c>
      <c r="D20" s="47">
        <f>'Conveying system input data'!$H$26*'Conveying system input data'!$F$26*L20*N20^2*'Pipe line section data'!F37/(2*'Conveying system input data'!$B$7)</f>
        <v>109.75836428298513</v>
      </c>
      <c r="E20" s="47"/>
      <c r="F20" s="47"/>
      <c r="G20" s="47"/>
      <c r="H20" s="47">
        <f t="shared" si="4"/>
        <v>1343.8124980356229</v>
      </c>
      <c r="I20" s="47">
        <v>25</v>
      </c>
      <c r="J20" s="47">
        <f t="shared" si="5"/>
        <v>278893.22836489644</v>
      </c>
      <c r="K20" s="41">
        <f t="shared" si="0"/>
        <v>277549.41586686083</v>
      </c>
      <c r="L20" s="47">
        <f t="shared" si="6"/>
        <v>3.150294587538518</v>
      </c>
      <c r="M20" s="41">
        <f t="shared" si="1"/>
        <v>3.1351152830281577</v>
      </c>
      <c r="N20" s="47">
        <f t="shared" si="7"/>
        <v>24.511993356258099</v>
      </c>
      <c r="O20" s="41">
        <f t="shared" si="2"/>
        <v>24.630673206190504</v>
      </c>
      <c r="P20" s="43">
        <f>N20*L20*'pressure drop calculations'!$B$7/[1]Mixtures!$D$3</f>
        <v>26385859.107513696</v>
      </c>
      <c r="Q20" s="37"/>
    </row>
    <row r="21" spans="1:17" x14ac:dyDescent="0.2">
      <c r="A21" s="79"/>
      <c r="B21" s="47">
        <f>0.5*((101^2+0.004567*('Conveying system input data'!$E$26^1.85)*'Pipe line section data'!F38*('Conveying system input data'!$B$7^-5))^0.5-101)</f>
        <v>1.0807308302319996</v>
      </c>
      <c r="C21" s="47">
        <f>'Conveying system input data'!$B$26*N21*0.8/'Conveying system input data'!$B$8</f>
        <v>1238.9430968719237</v>
      </c>
      <c r="D21" s="47">
        <f>'Conveying system input data'!$H$26*'Conveying system input data'!$F$26*L21*N21^2*'Pipe line section data'!F38/(2*'Conveying system input data'!$B$7)</f>
        <v>110.28978194504994</v>
      </c>
      <c r="E21" s="47"/>
      <c r="F21" s="47"/>
      <c r="G21" s="47"/>
      <c r="H21" s="47">
        <f t="shared" si="4"/>
        <v>1350.3136096472056</v>
      </c>
      <c r="I21" s="47">
        <v>25</v>
      </c>
      <c r="J21" s="47">
        <f t="shared" si="5"/>
        <v>277549.41586686083</v>
      </c>
      <c r="K21" s="41">
        <f t="shared" si="0"/>
        <v>276199.10225721361</v>
      </c>
      <c r="L21" s="47">
        <f t="shared" si="6"/>
        <v>3.1351152830281577</v>
      </c>
      <c r="M21" s="41">
        <f t="shared" si="1"/>
        <v>3.119862543903257</v>
      </c>
      <c r="N21" s="47">
        <f t="shared" si="7"/>
        <v>24.630673206190504</v>
      </c>
      <c r="O21" s="41">
        <f t="shared" si="2"/>
        <v>24.751090444962404</v>
      </c>
      <c r="P21" s="43">
        <f>N21*L21*'pressure drop calculations'!$B$7/[1]Mixtures!$D$3</f>
        <v>26385859.107513696</v>
      </c>
      <c r="Q21" s="37"/>
    </row>
    <row r="22" spans="1:17" x14ac:dyDescent="0.2">
      <c r="A22" s="79"/>
      <c r="B22" s="47">
        <f>0.5*((101^2+0.004567*('Conveying system input data'!$E$26^1.85)*'Pipe line section data'!F39*('Conveying system input data'!$B$7^-5))^0.5-101)</f>
        <v>1.0807308302319996</v>
      </c>
      <c r="C22" s="47">
        <f>'Conveying system input data'!$B$26*N22*0.8/'Conveying system input data'!$B$8</f>
        <v>1245.0001829073688</v>
      </c>
      <c r="D22" s="47">
        <f>'Conveying system input data'!$H$26*'Conveying system input data'!$F$26*L22*N22^2*'Pipe line section data'!F39/(2*'Conveying system input data'!$B$7)</f>
        <v>110.82897918482495</v>
      </c>
      <c r="E22" s="47"/>
      <c r="F22" s="47"/>
      <c r="G22" s="47"/>
      <c r="H22" s="47">
        <f t="shared" si="4"/>
        <v>1356.9098929224256</v>
      </c>
      <c r="I22" s="47">
        <v>25</v>
      </c>
      <c r="J22" s="47">
        <f t="shared" si="5"/>
        <v>276199.10225721361</v>
      </c>
      <c r="K22" s="41">
        <f t="shared" si="0"/>
        <v>274842.19236429117</v>
      </c>
      <c r="L22" s="47">
        <f t="shared" si="6"/>
        <v>3.119862543903257</v>
      </c>
      <c r="M22" s="41">
        <f t="shared" si="1"/>
        <v>3.1045352951331351</v>
      </c>
      <c r="N22" s="47">
        <f t="shared" si="7"/>
        <v>24.751090444962404</v>
      </c>
      <c r="O22" s="41">
        <f t="shared" si="2"/>
        <v>24.873287838297387</v>
      </c>
      <c r="P22" s="43">
        <f>N22*L22*'pressure drop calculations'!$B$7/[1]Mixtures!$D$3</f>
        <v>26385859.107513696</v>
      </c>
      <c r="Q22" s="37"/>
    </row>
    <row r="23" spans="1:17" x14ac:dyDescent="0.2">
      <c r="A23" s="79"/>
      <c r="B23" s="47">
        <f>0.5*((101^2+0.004567*('Conveying system input data'!$E$26^1.85)*'Pipe line section data'!F40*('Conveying system input data'!$B$7^-5))^0.5-101)</f>
        <v>1.0807308302319996</v>
      </c>
      <c r="C23" s="47">
        <f>'Conveying system input data'!$B$26*N23*0.8/'Conveying system input data'!$B$8</f>
        <v>1251.14681217977</v>
      </c>
      <c r="D23" s="47">
        <f>'Conveying system input data'!$H$26*'Conveying system input data'!$F$26*L23*N23^2*'Pipe line section data'!F40/(2*'Conveying system input data'!$B$7)</f>
        <v>111.37614749615558</v>
      </c>
      <c r="E23" s="47"/>
      <c r="F23" s="47"/>
      <c r="G23" s="47"/>
      <c r="H23" s="47">
        <f t="shared" si="4"/>
        <v>1363.6036905061576</v>
      </c>
      <c r="I23" s="47">
        <v>25</v>
      </c>
      <c r="J23" s="47">
        <f t="shared" si="5"/>
        <v>274842.19236429117</v>
      </c>
      <c r="K23" s="41">
        <f t="shared" si="0"/>
        <v>273478.58867378504</v>
      </c>
      <c r="L23" s="47">
        <f t="shared" si="6"/>
        <v>3.1045352951331351</v>
      </c>
      <c r="M23" s="41">
        <f t="shared" si="1"/>
        <v>3.0891324352252982</v>
      </c>
      <c r="N23" s="47">
        <f t="shared" si="7"/>
        <v>24.873287838297387</v>
      </c>
      <c r="O23" s="41">
        <f t="shared" si="2"/>
        <v>24.997309639257388</v>
      </c>
      <c r="P23" s="43">
        <f>N23*L23*'pressure drop calculations'!$B$7/[1]Mixtures!$D$3</f>
        <v>26385859.107513696</v>
      </c>
      <c r="Q23" s="37"/>
    </row>
    <row r="24" spans="1:17" x14ac:dyDescent="0.2">
      <c r="A24" s="79"/>
      <c r="B24" s="47">
        <f>0.5*((101^2+0.004567*('Conveying system input data'!$E$26^1.85)*'Pipe line section data'!F41*('Conveying system input data'!$B$7^-5))^0.5-101)</f>
        <v>1.0807308302319996</v>
      </c>
      <c r="C24" s="47">
        <f>'Conveying system input data'!$B$26*N24*0.8/'Conveying system input data'!$B$8</f>
        <v>1257.3852106544978</v>
      </c>
      <c r="D24" s="47">
        <f>'Conveying system input data'!$H$26*'Conveying system input data'!$F$26*L24*N24^2*'Pipe line section data'!F41/(2*'Conveying system input data'!$B$7)</f>
        <v>111.93148503280375</v>
      </c>
      <c r="E24" s="47"/>
      <c r="F24" s="47"/>
      <c r="G24" s="47"/>
      <c r="H24" s="47">
        <f t="shared" si="4"/>
        <v>1370.3974265175334</v>
      </c>
      <c r="I24" s="47">
        <v>25</v>
      </c>
      <c r="J24" s="47">
        <f t="shared" si="5"/>
        <v>273478.58867378504</v>
      </c>
      <c r="K24" s="41">
        <f t="shared" si="0"/>
        <v>272108.19124726753</v>
      </c>
      <c r="L24" s="47">
        <f t="shared" si="6"/>
        <v>3.0891324352252982</v>
      </c>
      <c r="M24" s="41">
        <f t="shared" si="1"/>
        <v>3.073652835305122</v>
      </c>
      <c r="N24" s="47">
        <f t="shared" si="7"/>
        <v>24.997309639257388</v>
      </c>
      <c r="O24" s="41">
        <f t="shared" si="2"/>
        <v>25.123201655379653</v>
      </c>
      <c r="P24" s="43">
        <f>N24*L24*'pressure drop calculations'!$B$7/[1]Mixtures!$D$3</f>
        <v>26385859.107513696</v>
      </c>
      <c r="Q24" s="37"/>
    </row>
    <row r="25" spans="1:17" x14ac:dyDescent="0.2">
      <c r="A25" s="79"/>
      <c r="B25" s="47">
        <f>0.5*((101^2+0.004567*('Conveying system input data'!$E$26^1.85)*'Pipe line section data'!F42*('Conveying system input data'!$B$7^-5))^0.5-101)</f>
        <v>1.0807308302319996</v>
      </c>
      <c r="C25" s="47">
        <f>'Conveying system input data'!$B$26*N25*0.8/'Conveying system input data'!$B$8</f>
        <v>1263.7176824883072</v>
      </c>
      <c r="D25" s="47">
        <f>'Conveying system input data'!$H$26*'Conveying system input data'!$F$26*L25*N25^2*'Pipe line section data'!F42/(2*'Conveying system input data'!$B$7)</f>
        <v>112.49519690906939</v>
      </c>
      <c r="E25" s="47"/>
      <c r="F25" s="47"/>
      <c r="G25" s="47"/>
      <c r="H25" s="47">
        <f t="shared" si="4"/>
        <v>1377.2936102276085</v>
      </c>
      <c r="I25" s="47">
        <v>25</v>
      </c>
      <c r="J25" s="47">
        <f t="shared" si="5"/>
        <v>272108.19124726753</v>
      </c>
      <c r="K25" s="41">
        <f t="shared" si="0"/>
        <v>270730.89763703995</v>
      </c>
      <c r="L25" s="47">
        <f t="shared" si="6"/>
        <v>3.073652835305122</v>
      </c>
      <c r="M25" s="41">
        <f t="shared" si="1"/>
        <v>3.0580953381540104</v>
      </c>
      <c r="N25" s="47">
        <f t="shared" si="7"/>
        <v>25.123201655379653</v>
      </c>
      <c r="O25" s="41">
        <f t="shared" si="2"/>
        <v>25.251011319553271</v>
      </c>
      <c r="P25" s="43">
        <f>N25*L25*'pressure drop calculations'!$B$7/[1]Mixtures!$D$3</f>
        <v>26385859.107513696</v>
      </c>
      <c r="Q25" s="37"/>
    </row>
    <row r="26" spans="1:17" x14ac:dyDescent="0.2">
      <c r="A26" s="79"/>
      <c r="B26" s="47">
        <f>0.5*((101^2+0.004567*('Conveying system input data'!$E$26^1.85)*'Pipe line section data'!F43*('Conveying system input data'!$B$7^-5))^0.5-101)</f>
        <v>0.54322576493792951</v>
      </c>
      <c r="C26" s="47">
        <f>'Conveying system input data'!$B$26*N26*0.8/'Conveying system input data'!$B$8</f>
        <v>1270.1466135944868</v>
      </c>
      <c r="D26" s="47">
        <f>'Conveying system input data'!$H$26*'Conveying system input data'!$F$26*L26*N26^2*'Pipe line section data'!F43/(2*'Conveying system input data'!$B$7)</f>
        <v>56.533747758578798</v>
      </c>
      <c r="E26" s="47"/>
      <c r="F26" s="47"/>
      <c r="G26" s="47"/>
      <c r="H26" s="47">
        <f t="shared" si="4"/>
        <v>1327.2235871180035</v>
      </c>
      <c r="I26" s="47">
        <v>25</v>
      </c>
      <c r="J26" s="47">
        <f t="shared" si="5"/>
        <v>270730.89763703995</v>
      </c>
      <c r="K26" s="41">
        <f t="shared" si="0"/>
        <v>269403.67404992192</v>
      </c>
      <c r="L26" s="47">
        <f t="shared" si="6"/>
        <v>3.0580953381540104</v>
      </c>
      <c r="M26" s="41">
        <f t="shared" si="1"/>
        <v>3.043103417025395</v>
      </c>
      <c r="N26" s="47">
        <f t="shared" si="7"/>
        <v>25.251011319553271</v>
      </c>
      <c r="O26" s="41">
        <f t="shared" si="2"/>
        <v>25.375411025459602</v>
      </c>
      <c r="P26" s="43">
        <f>N26*L26*'pressure drop calculations'!$B$7/[1]Mixtures!$D$3</f>
        <v>26385859.107513696</v>
      </c>
      <c r="Q26" s="37"/>
    </row>
    <row r="27" spans="1:17" x14ac:dyDescent="0.2">
      <c r="A27" s="80">
        <v>6</v>
      </c>
      <c r="B27" s="48">
        <f>0.5*((101^2+0.004567*('Conveying system input data'!$E$26^1.85)*'Pipe line section data'!F44*('Conveying system input data'!$B$7^-5))^0.5-101)</f>
        <v>6.2694605400759045</v>
      </c>
      <c r="C27" s="48">
        <f>'Conveying system input data'!$B$26*N27*0.8/'Conveying system input data'!$B$8</f>
        <v>1276.4040209984717</v>
      </c>
      <c r="D27" s="48">
        <f>'Conveying system input data'!$H$26*'Conveying system input data'!$F$26*L27*N27^2*'Pipe line section data'!F44/(2*'Conveying system input data'!$B$7)</f>
        <v>692.65510570686274</v>
      </c>
      <c r="E27" s="48"/>
      <c r="F27" s="48"/>
      <c r="G27" s="48"/>
      <c r="H27" s="48">
        <f t="shared" si="4"/>
        <v>1975.3285872454103</v>
      </c>
      <c r="I27" s="48">
        <v>25</v>
      </c>
      <c r="J27" s="48">
        <f t="shared" si="5"/>
        <v>269403.67404992192</v>
      </c>
      <c r="K27" s="41">
        <f t="shared" si="0"/>
        <v>267428.34546267649</v>
      </c>
      <c r="L27" s="48">
        <f t="shared" si="6"/>
        <v>3.043103417025395</v>
      </c>
      <c r="M27" s="41">
        <f t="shared" si="1"/>
        <v>3.020790695438381</v>
      </c>
      <c r="N27" s="48">
        <f t="shared" si="7"/>
        <v>25.375411025459602</v>
      </c>
      <c r="O27" s="41">
        <f t="shared" si="2"/>
        <v>25.562843568277653</v>
      </c>
      <c r="P27" s="43">
        <f>N27*L27*'pressure drop calculations'!$B$7/[1]Mixtures!$D$3</f>
        <v>26385859.107513696</v>
      </c>
      <c r="Q27" s="37"/>
    </row>
    <row r="28" spans="1:17" x14ac:dyDescent="0.2">
      <c r="A28" s="81">
        <f t="shared" si="8"/>
        <v>7</v>
      </c>
      <c r="B28" s="49">
        <f>0.5*((101^2+0.004567*('Conveying system input data'!$E$26^1.85)*'Pipe line section data'!F45*('Conveying system input data'!$B$7^-5))^0.5-101)</f>
        <v>1.0807308302319996</v>
      </c>
      <c r="C28" s="49">
        <f>'Conveying system input data'!$B$26*N28*0.8/'Conveying system input data'!$B$8</f>
        <v>1285.8320318818776</v>
      </c>
      <c r="D28" s="49">
        <f>'Conveying system input data'!$H$26*'Conveying system input data'!$F$26*L28*N28^2*'Pipe line section data'!F45/(2*'Conveying system input data'!$B$7)</f>
        <v>114.46379964686375</v>
      </c>
      <c r="E28" s="49">
        <f>'Pipe line section data'!F45*'pressure drop calculations'!L28*'Conveying system input data'!$B$10</f>
        <v>34.442405053764318</v>
      </c>
      <c r="F28" s="49">
        <f>'Pipe line section data'!F45*'Conveying system input data'!$D$19*'Conveying system input data'!$B$10/(N28*0.8)</f>
        <v>60.323279591962304</v>
      </c>
      <c r="G28" s="49"/>
      <c r="H28" s="49">
        <f t="shared" si="4"/>
        <v>1496.1422470046998</v>
      </c>
      <c r="I28" s="49">
        <v>25</v>
      </c>
      <c r="J28" s="49">
        <f t="shared" si="5"/>
        <v>267428.34546267649</v>
      </c>
      <c r="K28" s="41">
        <f t="shared" si="0"/>
        <v>265932.20321567176</v>
      </c>
      <c r="L28" s="49">
        <f t="shared" si="6"/>
        <v>3.020790695438381</v>
      </c>
      <c r="M28" s="41">
        <f t="shared" si="1"/>
        <v>3.0038907195925715</v>
      </c>
      <c r="N28" s="93">
        <f t="shared" si="7"/>
        <v>25.562843568277653</v>
      </c>
      <c r="O28" s="41">
        <f t="shared" si="2"/>
        <v>25.706660863639417</v>
      </c>
      <c r="P28" s="43">
        <f>N28*L28*'pressure drop calculations'!$B$7/[1]Mixtures!$D$3</f>
        <v>26385859.107513696</v>
      </c>
      <c r="Q28" s="37"/>
    </row>
    <row r="29" spans="1:17" x14ac:dyDescent="0.2">
      <c r="A29" s="82"/>
      <c r="B29" s="49">
        <f>0.5*((101^2+0.004567*('Conveying system input data'!$E$26^1.85)*'Pipe line section data'!F46*('Conveying system input data'!$B$7^-5))^0.5-101)</f>
        <v>1.0807308302319996</v>
      </c>
      <c r="C29" s="49">
        <f>'Conveying system input data'!$B$26*N29*0.8/'Conveying system input data'!$B$8</f>
        <v>1293.0661599874165</v>
      </c>
      <c r="D29" s="49">
        <f>'Conveying system input data'!$H$26*'Conveying system input data'!$F$26*L29*N29^2*'Pipe line section data'!F46/(2*'Conveying system input data'!$B$7)</f>
        <v>115.10777628577223</v>
      </c>
      <c r="E29" s="49">
        <f>'Pipe line section data'!F46*'pressure drop calculations'!L29*'Conveying system input data'!$B$10</f>
        <v>33.96105048042218</v>
      </c>
      <c r="F29" s="49">
        <f>'Pipe line section data'!F46*'Conveying system input data'!$D$19*'Conveying system input data'!$B$10/(N29*0.8)</f>
        <v>59.985797763253132</v>
      </c>
      <c r="G29" s="49"/>
      <c r="H29" s="49">
        <f t="shared" si="4"/>
        <v>1503.2015153470961</v>
      </c>
      <c r="I29" s="49">
        <v>25</v>
      </c>
      <c r="J29" s="49">
        <f t="shared" si="5"/>
        <v>265932.20321567176</v>
      </c>
      <c r="K29" s="41">
        <f t="shared" si="0"/>
        <v>264429.00170032465</v>
      </c>
      <c r="L29" s="49">
        <f t="shared" si="6"/>
        <v>3.0038907195925715</v>
      </c>
      <c r="M29" s="41">
        <f t="shared" si="1"/>
        <v>2.98691100436054</v>
      </c>
      <c r="N29" s="49">
        <f t="shared" si="7"/>
        <v>25.706660863639417</v>
      </c>
      <c r="O29" s="41">
        <f t="shared" si="2"/>
        <v>25.852795710105809</v>
      </c>
      <c r="P29" s="43">
        <f>N29*L29*'pressure drop calculations'!$B$7/[1]Mixtures!$D$3</f>
        <v>26385859.107513696</v>
      </c>
      <c r="Q29" s="37"/>
    </row>
    <row r="30" spans="1:17" x14ac:dyDescent="0.2">
      <c r="A30" s="82"/>
      <c r="B30" s="49">
        <f>0.5*((101^2+0.004567*('Conveying system input data'!$E$26^1.85)*'Pipe line section data'!F47*('Conveying system input data'!$B$7^-5))^0.5-101)</f>
        <v>1.0807308302319996</v>
      </c>
      <c r="C30" s="49">
        <f>'Conveying system input data'!$B$26*N30*0.8/'Conveying system input data'!$B$8</f>
        <v>1300.4168628174339</v>
      </c>
      <c r="D30" s="49">
        <f>'Conveying system input data'!$H$26*'Conveying system input data'!$F$26*L30*N30^2*'Pipe line section data'!F47/(2*'Conveying system input data'!$B$7)</f>
        <v>115.76213031890929</v>
      </c>
      <c r="E30" s="49">
        <f>'Pipe line section data'!F47*'pressure drop calculations'!L30*'Conveying system input data'!$B$10</f>
        <v>33.473340444214742</v>
      </c>
      <c r="F30" s="49">
        <f>'Pipe line section data'!F47*'Conveying system input data'!$D$19*'Conveying system input data'!$B$10/(N30*0.8)</f>
        <v>59.646723589434849</v>
      </c>
      <c r="G30" s="49"/>
      <c r="H30" s="49">
        <f t="shared" si="4"/>
        <v>1510.3797880002248</v>
      </c>
      <c r="I30" s="49">
        <v>25</v>
      </c>
      <c r="J30" s="49">
        <f t="shared" si="5"/>
        <v>264429.00170032465</v>
      </c>
      <c r="K30" s="41">
        <f t="shared" si="0"/>
        <v>262918.62191232439</v>
      </c>
      <c r="L30" s="49">
        <f t="shared" si="6"/>
        <v>2.98691100436054</v>
      </c>
      <c r="M30" s="41">
        <f t="shared" si="1"/>
        <v>2.9698502055051472</v>
      </c>
      <c r="N30" s="49">
        <f t="shared" si="7"/>
        <v>25.852795710105809</v>
      </c>
      <c r="O30" s="41">
        <f t="shared" si="2"/>
        <v>26.001311398419674</v>
      </c>
      <c r="P30" s="43">
        <f>N30*L30*'pressure drop calculations'!$B$7/[1]Mixtures!$D$3</f>
        <v>26385859.107513696</v>
      </c>
      <c r="Q30" s="37"/>
    </row>
    <row r="31" spans="1:17" x14ac:dyDescent="0.2">
      <c r="A31" s="82"/>
      <c r="B31" s="49">
        <f>0.5*((101^2+0.004567*('Conveying system input data'!$E$26^1.85)*'Pipe line section data'!F48*('Conveying system input data'!$B$7^-5))^0.5-101)</f>
        <v>1.0807308302319996</v>
      </c>
      <c r="C31" s="49">
        <f>'Conveying system input data'!$B$26*N31*0.8/'Conveying system input data'!$B$8</f>
        <v>1307.8873239482889</v>
      </c>
      <c r="D31" s="49">
        <f>'Conveying system input data'!$H$26*'Conveying system input data'!$F$26*L31*N31^2*'Pipe line section data'!F48/(2*'Conveying system input data'!$B$7)</f>
        <v>116.42714514584624</v>
      </c>
      <c r="E31" s="49">
        <f>'Pipe line section data'!F48*'pressure drop calculations'!L31*'Conveying system input data'!$B$10</f>
        <v>32.978997856682113</v>
      </c>
      <c r="F31" s="49">
        <f>'Pipe line section data'!F48*'Conveying system input data'!$D$19*'Conveying system input data'!$B$10/(N31*0.8)</f>
        <v>59.306030226941978</v>
      </c>
      <c r="G31" s="49"/>
      <c r="H31" s="49">
        <f t="shared" si="4"/>
        <v>1517.6802280079912</v>
      </c>
      <c r="I31" s="49">
        <v>25</v>
      </c>
      <c r="J31" s="49">
        <f t="shared" si="5"/>
        <v>262918.62191232439</v>
      </c>
      <c r="K31" s="41">
        <f t="shared" si="0"/>
        <v>261400.94168431641</v>
      </c>
      <c r="L31" s="49">
        <f t="shared" si="6"/>
        <v>2.9698502055051472</v>
      </c>
      <c r="M31" s="41">
        <f t="shared" si="1"/>
        <v>2.9527069430604516</v>
      </c>
      <c r="N31" s="49">
        <f t="shared" si="7"/>
        <v>26.001311398419674</v>
      </c>
      <c r="O31" s="41">
        <f t="shared" si="2"/>
        <v>26.152273655699211</v>
      </c>
      <c r="P31" s="43">
        <f>N31*L31*'pressure drop calculations'!$B$7/[1]Mixtures!$D$3</f>
        <v>26385859.107513696</v>
      </c>
      <c r="Q31" s="37"/>
    </row>
    <row r="32" spans="1:17" x14ac:dyDescent="0.2">
      <c r="A32" s="82"/>
      <c r="B32" s="49">
        <f>0.5*((101^2+0.004567*('Conveying system input data'!$E$26^1.85)*'Pipe line section data'!F49*('Conveying system input data'!$B$7^-5))^0.5-101)</f>
        <v>0.1363527924613237</v>
      </c>
      <c r="C32" s="49">
        <f>'Conveying system input data'!$B$26*N32*0.8/'Conveying system input data'!$B$8</f>
        <v>1315.480849508024</v>
      </c>
      <c r="D32" s="49">
        <f>'Conveying system input data'!$H$26*'Conveying system input data'!$F$26*L32*N32^2*'Pipe line section data'!F49/(2*'Conveying system input data'!$B$7)</f>
        <v>14.637889384451606</v>
      </c>
      <c r="E32" s="49">
        <f>'Pipe line section data'!F49*'pressure drop calculations'!L32*'Conveying system input data'!$B$10</f>
        <v>4.0597156609391494</v>
      </c>
      <c r="F32" s="49">
        <f>'Pipe line section data'!F49*'Conveying system input data'!$D$19*'Conveying system input data'!$B$10/(N32*0.8)</f>
        <v>7.3704612648409329</v>
      </c>
      <c r="G32" s="49"/>
      <c r="H32" s="49">
        <f t="shared" si="4"/>
        <v>1341.6852686107172</v>
      </c>
      <c r="I32" s="49">
        <v>25</v>
      </c>
      <c r="J32" s="49">
        <f t="shared" si="5"/>
        <v>261400.94168431641</v>
      </c>
      <c r="K32" s="41">
        <f t="shared" si="0"/>
        <v>260059.25641570569</v>
      </c>
      <c r="L32" s="49">
        <f t="shared" si="6"/>
        <v>2.9527069430604516</v>
      </c>
      <c r="M32" s="41">
        <f t="shared" si="1"/>
        <v>2.9375516670981598</v>
      </c>
      <c r="N32" s="49">
        <f t="shared" si="7"/>
        <v>26.152273655699211</v>
      </c>
      <c r="O32" s="41">
        <f t="shared" si="2"/>
        <v>26.28719721423019</v>
      </c>
      <c r="P32" s="43">
        <f>N32*L32*'pressure drop calculations'!$B$7/[1]Mixtures!$D$3</f>
        <v>26385859.107513696</v>
      </c>
      <c r="Q32" s="37"/>
    </row>
    <row r="33" spans="1:17" x14ac:dyDescent="0.2">
      <c r="A33" s="83">
        <v>8</v>
      </c>
      <c r="B33" s="50">
        <f>0.5*((101^2+0.004567*('Conveying system input data'!$E$26^1.85)*'Pipe line section data'!F50*('Conveying system input data'!$B$7^-5))^0.5-101)</f>
        <v>6.2694605400759045</v>
      </c>
      <c r="C33" s="50">
        <f>'Conveying system input data'!$B$26*N33*0.8/'Conveying system input data'!$B$8</f>
        <v>1322.2676153445882</v>
      </c>
      <c r="D33" s="50">
        <f>'Conveying system input data'!$H$26*'Conveying system input data'!$F$26*L33*N33^2*'Pipe line section data'!F50/(2*'Conveying system input data'!$B$7)</f>
        <v>717.54350488712817</v>
      </c>
      <c r="E33" s="50"/>
      <c r="F33" s="50"/>
      <c r="G33" s="50"/>
      <c r="H33" s="50">
        <f t="shared" si="4"/>
        <v>2046.0805807717923</v>
      </c>
      <c r="I33" s="50">
        <v>25</v>
      </c>
      <c r="J33" s="50">
        <f t="shared" si="5"/>
        <v>260059.25641570569</v>
      </c>
      <c r="K33" s="41">
        <f t="shared" si="0"/>
        <v>258013.17583493391</v>
      </c>
      <c r="L33" s="50">
        <f t="shared" si="6"/>
        <v>2.9375516670981598</v>
      </c>
      <c r="M33" s="41">
        <f t="shared" si="1"/>
        <v>2.9144397521296126</v>
      </c>
      <c r="N33" s="50">
        <f t="shared" si="7"/>
        <v>26.28719721423019</v>
      </c>
      <c r="O33" s="41">
        <f t="shared" si="2"/>
        <v>26.495658365754348</v>
      </c>
      <c r="P33" s="51">
        <f>N33*L33*'pressure drop calculations'!$B$7/[1]Mixtures!$D$3</f>
        <v>26385859.107513696</v>
      </c>
      <c r="Q33" s="37"/>
    </row>
    <row r="34" spans="1:17" x14ac:dyDescent="0.2">
      <c r="A34" s="84">
        <v>9</v>
      </c>
      <c r="B34" s="52">
        <f>0.5*((101^2+0.004567*('Conveying system input data'!$E$26^1.85)*'Pipe line section data'!F51*('Conveying system input data'!$B$7^-5))^0.5-101)</f>
        <v>1.0807308302319996</v>
      </c>
      <c r="C34" s="52">
        <f>'Conveying system input data'!$B$26*N34*0.8/'Conveying system input data'!$B$8</f>
        <v>1332.7533825213422</v>
      </c>
      <c r="D34" s="52">
        <f>'Conveying system input data'!$H$26*'Conveying system input data'!$F$26*L34*N34^2*'Pipe line section data'!F51/(2*'Conveying system input data'!$B$7)</f>
        <v>118.64070296361773</v>
      </c>
      <c r="E34" s="52"/>
      <c r="F34" s="52"/>
      <c r="G34" s="52"/>
      <c r="H34" s="52">
        <f t="shared" si="4"/>
        <v>1452.4748163151919</v>
      </c>
      <c r="I34" s="52">
        <v>25</v>
      </c>
      <c r="J34" s="52">
        <f t="shared" si="5"/>
        <v>258013.17583493391</v>
      </c>
      <c r="K34" s="41">
        <f t="shared" si="0"/>
        <v>256560.70101861871</v>
      </c>
      <c r="L34" s="52">
        <f t="shared" si="6"/>
        <v>2.9144397521296126</v>
      </c>
      <c r="M34" s="41">
        <f t="shared" si="1"/>
        <v>2.8980330305351143</v>
      </c>
      <c r="N34" s="50">
        <f t="shared" si="7"/>
        <v>26.495658365754348</v>
      </c>
      <c r="O34" s="41">
        <f t="shared" si="2"/>
        <v>26.645659033686556</v>
      </c>
      <c r="P34" s="43">
        <f>N34*L34*'pressure drop calculations'!$B$7/[1]Mixtures!$D$3</f>
        <v>26385859.107513696</v>
      </c>
      <c r="Q34" s="37"/>
    </row>
    <row r="35" spans="1:17" x14ac:dyDescent="0.2">
      <c r="A35" s="84"/>
      <c r="B35" s="52">
        <f>0.5*((101^2+0.004567*('Conveying system input data'!$E$26^1.85)*'Pipe line section data'!F52*('Conveying system input data'!$B$7^-5))^0.5-101)</f>
        <v>1.0807308302319996</v>
      </c>
      <c r="C35" s="52">
        <f>'Conveying system input data'!$B$26*N35*0.8/'Conveying system input data'!$B$8</f>
        <v>1340.2985393469412</v>
      </c>
      <c r="D35" s="52">
        <f>'Conveying system input data'!$H$26*'Conveying system input data'!$F$26*L35*N35^2*'Pipe line section data'!F52/(2*'Conveying system input data'!$B$7)</f>
        <v>119.31236714507811</v>
      </c>
      <c r="E35" s="52"/>
      <c r="F35" s="52"/>
      <c r="G35" s="52"/>
      <c r="H35" s="52">
        <f t="shared" si="4"/>
        <v>1460.6916373222512</v>
      </c>
      <c r="I35" s="52">
        <v>25</v>
      </c>
      <c r="J35" s="52">
        <f t="shared" si="5"/>
        <v>256560.70101861871</v>
      </c>
      <c r="K35" s="41">
        <f t="shared" si="0"/>
        <v>255100.00938129646</v>
      </c>
      <c r="L35" s="52">
        <f t="shared" si="6"/>
        <v>2.8980330305351143</v>
      </c>
      <c r="M35" s="41">
        <f t="shared" si="1"/>
        <v>2.8815334941853163</v>
      </c>
      <c r="N35" s="50">
        <f t="shared" si="7"/>
        <v>26.645659033686556</v>
      </c>
      <c r="O35" s="41">
        <f t="shared" si="2"/>
        <v>26.798230926630989</v>
      </c>
      <c r="P35" s="43">
        <f>N35*L35*'pressure drop calculations'!$B$7/[1]Mixtures!$D$3</f>
        <v>26385859.107513696</v>
      </c>
      <c r="Q35" s="37"/>
    </row>
    <row r="36" spans="1:17" x14ac:dyDescent="0.2">
      <c r="A36" s="84"/>
      <c r="B36" s="52">
        <f>0.5*((101^2+0.004567*('Conveying system input data'!$E$26^1.85)*'Pipe line section data'!F53*('Conveying system input data'!$B$7^-5))^0.5-101)</f>
        <v>1.0807308302319996</v>
      </c>
      <c r="C36" s="52">
        <f>'Conveying system input data'!$B$26*N36*0.8/'Conveying system input data'!$B$8</f>
        <v>1347.9730309029687</v>
      </c>
      <c r="D36" s="52">
        <f>'Conveying system input data'!$H$26*'Conveying system input data'!$F$26*L36*N36^2*'Pipe line section data'!F53/(2*'Conveying system input data'!$B$7)</f>
        <v>119.99554460689254</v>
      </c>
      <c r="E36" s="52"/>
      <c r="F36" s="52"/>
      <c r="G36" s="52"/>
      <c r="H36" s="52">
        <f t="shared" si="4"/>
        <v>1469.0493063400932</v>
      </c>
      <c r="I36" s="52">
        <v>25</v>
      </c>
      <c r="J36" s="52">
        <f t="shared" si="5"/>
        <v>255100.00938129646</v>
      </c>
      <c r="K36" s="41">
        <f t="shared" si="0"/>
        <v>253630.96007495638</v>
      </c>
      <c r="L36" s="52">
        <f t="shared" si="6"/>
        <v>2.8815334941853163</v>
      </c>
      <c r="M36" s="41">
        <f t="shared" si="1"/>
        <v>2.8649395521031686</v>
      </c>
      <c r="N36" s="50">
        <f t="shared" si="7"/>
        <v>26.798230926630989</v>
      </c>
      <c r="O36" s="41">
        <f t="shared" si="2"/>
        <v>26.953448265012206</v>
      </c>
      <c r="P36" s="43">
        <f>N36*L36*'pressure drop calculations'!$B$7/[1]Mixtures!$D$3</f>
        <v>26385859.107513696</v>
      </c>
      <c r="Q36" s="37"/>
    </row>
    <row r="37" spans="1:17" x14ac:dyDescent="0.2">
      <c r="A37" s="84"/>
      <c r="B37" s="52">
        <f>0.5*((101^2+0.004567*('Conveying system input data'!$E$26^1.85)*'Pipe line section data'!F54*('Conveying system input data'!$B$7^-5))^0.5-101)</f>
        <v>1.0807308302319996</v>
      </c>
      <c r="C37" s="52">
        <f>'Conveying system input data'!$B$26*N37*0.8/'Conveying system input data'!$B$8</f>
        <v>1355.7805905377543</v>
      </c>
      <c r="D37" s="52">
        <f>'Conveying system input data'!$H$26*'Conveying system input data'!$F$26*L37*N37^2*'Pipe line section data'!F54/(2*'Conveying system input data'!$B$7)</f>
        <v>120.69056768891907</v>
      </c>
      <c r="E37" s="52"/>
      <c r="F37" s="52"/>
      <c r="G37" s="52"/>
      <c r="H37" s="52">
        <f t="shared" si="4"/>
        <v>1477.5518890569053</v>
      </c>
      <c r="I37" s="52">
        <v>25</v>
      </c>
      <c r="J37" s="52">
        <f t="shared" si="5"/>
        <v>253630.96007495638</v>
      </c>
      <c r="K37" s="41">
        <f t="shared" si="0"/>
        <v>252153.40818589949</v>
      </c>
      <c r="L37" s="52">
        <f t="shared" si="6"/>
        <v>2.8649395521031686</v>
      </c>
      <c r="M37" s="41">
        <f t="shared" si="1"/>
        <v>2.8482495673868198</v>
      </c>
      <c r="N37" s="50">
        <f t="shared" si="7"/>
        <v>26.953448265012206</v>
      </c>
      <c r="O37" s="41">
        <f t="shared" si="2"/>
        <v>27.111388301147691</v>
      </c>
      <c r="P37" s="43">
        <f>N37*L37*'pressure drop calculations'!$B$7/[1]Mixtures!$D$3</f>
        <v>26385859.107513696</v>
      </c>
      <c r="Q37" s="37"/>
    </row>
    <row r="38" spans="1:17" x14ac:dyDescent="0.2">
      <c r="A38" s="84"/>
      <c r="B38" s="52">
        <f>0.5*((101^2+0.004567*('Conveying system input data'!$E$26^1.85)*'Pipe line section data'!F55*('Conveying system input data'!$B$7^-5))^0.5-101)</f>
        <v>1.0807308302319996</v>
      </c>
      <c r="C38" s="52">
        <f>'Conveying system input data'!$B$26*N38*0.8/'Conveying system input data'!$B$8</f>
        <v>1363.7251041063309</v>
      </c>
      <c r="D38" s="52">
        <f>'Conveying system input data'!$H$26*'Conveying system input data'!$F$26*L38*N38^2*'Pipe line section data'!F55/(2*'Conveying system input data'!$B$7)</f>
        <v>121.39778230704809</v>
      </c>
      <c r="E38" s="52"/>
      <c r="F38" s="52"/>
      <c r="G38" s="52"/>
      <c r="H38" s="52">
        <f t="shared" si="4"/>
        <v>1486.203617243611</v>
      </c>
      <c r="I38" s="52">
        <v>25</v>
      </c>
      <c r="J38" s="52">
        <f t="shared" si="5"/>
        <v>252153.40818589949</v>
      </c>
      <c r="K38" s="41">
        <f t="shared" si="0"/>
        <v>250667.20456865587</v>
      </c>
      <c r="L38" s="52">
        <f t="shared" si="6"/>
        <v>2.8482495673868198</v>
      </c>
      <c r="M38" s="41">
        <f t="shared" si="1"/>
        <v>2.8314618553336</v>
      </c>
      <c r="N38" s="50">
        <f t="shared" si="7"/>
        <v>27.111388301147691</v>
      </c>
      <c r="O38" s="41">
        <f t="shared" si="2"/>
        <v>27.272131480260402</v>
      </c>
      <c r="P38" s="43">
        <f>N38*L38*'pressure drop calculations'!$B$7/[1]Mixtures!$D$3</f>
        <v>26385859.107513696</v>
      </c>
      <c r="Q38" s="37"/>
    </row>
    <row r="39" spans="1:17" x14ac:dyDescent="0.2">
      <c r="A39" s="84"/>
      <c r="B39" s="52">
        <f>0.5*((101^2+0.004567*('Conveying system input data'!$E$26^1.85)*'Pipe line section data'!F56*('Conveying system input data'!$B$7^-5))^0.5-101)</f>
        <v>0.54322576493792951</v>
      </c>
      <c r="C39" s="52">
        <f>'Conveying system input data'!$B$26*N39*0.8/'Conveying system input data'!$B$8</f>
        <v>1371.8106180695013</v>
      </c>
      <c r="D39" s="52">
        <f>'Conveying system input data'!$H$26*'Conveying system input data'!$F$26*L39*N39^2*'Pipe line section data'!F56/(2*'Conveying system input data'!$B$7)</f>
        <v>61.058774337087193</v>
      </c>
      <c r="E39" s="52"/>
      <c r="F39" s="52"/>
      <c r="G39" s="52"/>
      <c r="H39" s="52">
        <f t="shared" si="4"/>
        <v>1433.4126181715264</v>
      </c>
      <c r="I39" s="52">
        <v>25</v>
      </c>
      <c r="J39" s="52">
        <f t="shared" si="5"/>
        <v>250667.20456865587</v>
      </c>
      <c r="K39" s="41">
        <f t="shared" si="0"/>
        <v>249233.79195048433</v>
      </c>
      <c r="L39" s="52">
        <f t="shared" si="6"/>
        <v>2.8314618553336</v>
      </c>
      <c r="M39" s="41">
        <f t="shared" si="1"/>
        <v>2.8152704546344518</v>
      </c>
      <c r="N39" s="50">
        <f t="shared" si="7"/>
        <v>27.272131480260402</v>
      </c>
      <c r="O39" s="41">
        <f t="shared" si="2"/>
        <v>27.42898106747851</v>
      </c>
      <c r="P39" s="43">
        <f>N39*L39*'pressure drop calculations'!$B$7/[1]Mixtures!$D$3</f>
        <v>26385859.107513696</v>
      </c>
      <c r="Q39" s="37"/>
    </row>
    <row r="40" spans="1:17" x14ac:dyDescent="0.2">
      <c r="A40" s="75">
        <v>10</v>
      </c>
      <c r="B40" s="41">
        <f>0.5*((101^2+0.004567*('Conveying system input data'!$E$26^1.85)*'Pipe line section data'!F55*('Conveying system input data'!$B$7^-5))^0.5-101)</f>
        <v>1.0807308302319996</v>
      </c>
      <c r="C40" s="41">
        <f>'Conveying system input data'!$B$26*N40*0.8/'Conveying system input data'!$B$8</f>
        <v>1379.7002811617081</v>
      </c>
      <c r="D40" s="41">
        <f>'Conveying system input data'!$H$26*'Conveying system input data'!$F$26*L40*N40^2*'Pipe line section data'!F57/(2*'Conveying system input data'!$B$7)</f>
        <v>748.70999179733496</v>
      </c>
      <c r="E40" s="41"/>
      <c r="F40" s="41"/>
      <c r="G40" s="41"/>
      <c r="H40" s="41">
        <f t="shared" si="4"/>
        <v>2129.4910037892751</v>
      </c>
      <c r="I40" s="41">
        <v>25</v>
      </c>
      <c r="J40" s="52">
        <f t="shared" si="5"/>
        <v>249233.79195048433</v>
      </c>
      <c r="K40" s="41">
        <f t="shared" si="0"/>
        <v>247104.30094669506</v>
      </c>
      <c r="L40" s="52">
        <f t="shared" si="6"/>
        <v>2.8152704546344518</v>
      </c>
      <c r="M40" s="41">
        <f t="shared" si="1"/>
        <v>2.7912163604465783</v>
      </c>
      <c r="N40" s="50">
        <f t="shared" si="7"/>
        <v>27.42898106747851</v>
      </c>
      <c r="O40" s="41">
        <f t="shared" si="2"/>
        <v>27.665358047573658</v>
      </c>
      <c r="P40" s="43">
        <f>N40*L40*'pressure drop calculations'!$B$7/[1]Mixtures!$D$3</f>
        <v>26385859.107513696</v>
      </c>
      <c r="Q40" s="37"/>
    </row>
    <row r="41" spans="1:17" x14ac:dyDescent="0.2">
      <c r="A41" s="81">
        <v>11</v>
      </c>
      <c r="B41" s="41">
        <f>0.5*((101^2+0.004567*('Conveying system input data'!$E$26^1.85)*'Pipe line section data'!F56*('Conveying system input data'!$B$7^-5))^0.5-101)</f>
        <v>0.54322576493792951</v>
      </c>
      <c r="C41" s="41">
        <f>'Conveying system input data'!$B$26*N41*0.8/'Conveying system input data'!$B$8</f>
        <v>1391.5902374490058</v>
      </c>
      <c r="D41" s="41">
        <f>'Conveying system input data'!$H$26*'Conveying system input data'!$F$26*L41*N41^2*'Pipe line section data'!F58/(2*'Conveying system input data'!$B$7)</f>
        <v>123.87831550344156</v>
      </c>
      <c r="E41" s="41">
        <f>-'Pipe line section data'!F58*L41*'Conveying system input data'!$B$10</f>
        <v>-54.763664991961868</v>
      </c>
      <c r="F41" s="41">
        <f>-'Pipe line section data'!F58*'Conveying system input data'!$D$19*'Conveying system input data'!$B$10/('pressure drop calculations'!N41*0.8)</f>
        <v>-31.69599428190881</v>
      </c>
      <c r="G41" s="41"/>
      <c r="H41" s="41">
        <f t="shared" si="4"/>
        <v>1429.5521194435148</v>
      </c>
      <c r="I41" s="41">
        <v>25</v>
      </c>
      <c r="J41" s="52">
        <f t="shared" si="5"/>
        <v>247104.30094669506</v>
      </c>
      <c r="K41" s="41">
        <f t="shared" si="0"/>
        <v>245674.74882725155</v>
      </c>
      <c r="L41" s="52">
        <f t="shared" si="6"/>
        <v>2.7912163604465783</v>
      </c>
      <c r="M41" s="41">
        <f t="shared" si="1"/>
        <v>2.7750685667877271</v>
      </c>
      <c r="N41" s="50">
        <f t="shared" si="7"/>
        <v>27.665358047573658</v>
      </c>
      <c r="O41" s="41">
        <f t="shared" si="2"/>
        <v>27.826339472896628</v>
      </c>
      <c r="P41" s="43">
        <f>N41*L41*'pressure drop calculations'!$B$7/[1]Mixtures!$D$3</f>
        <v>26385859.107513696</v>
      </c>
      <c r="Q41" s="37"/>
    </row>
    <row r="42" spans="1:17" x14ac:dyDescent="0.2">
      <c r="A42" s="75"/>
      <c r="B42" s="41">
        <f>0.5*((101^2+0.004567*('Conveying system input data'!$E$26^1.85)*'Pipe line section data'!F57*('Conveying system input data'!$B$7^-5))^0.5-101)</f>
        <v>6.2694605400759045</v>
      </c>
      <c r="C42" s="41">
        <f>'Conveying system input data'!$B$26*N42*0.8/'Conveying system input data'!$B$8</f>
        <v>1399.6877353922764</v>
      </c>
      <c r="D42" s="41">
        <f>'Conveying system input data'!$H$26*'Conveying system input data'!$F$26*L42*N42^2*'Pipe line section data'!F59/(2*'Conveying system input data'!$B$7)</f>
        <v>46.724680753296063</v>
      </c>
      <c r="E42" s="41">
        <f>-'Pipe line section data'!F59*L42*'Conveying system input data'!$B$10</f>
        <v>-20.417566980140702</v>
      </c>
      <c r="F42" s="41">
        <f>-'Pipe line section data'!F59*'Conveying system input data'!$D$19*'Conveying system input data'!$B$10/('pressure drop calculations'!N42*0.8)</f>
        <v>-11.637650069627448</v>
      </c>
      <c r="G42" s="41"/>
      <c r="H42" s="41">
        <f t="shared" si="4"/>
        <v>1420.6266596358803</v>
      </c>
      <c r="I42" s="41">
        <v>25</v>
      </c>
      <c r="J42" s="52">
        <f t="shared" si="5"/>
        <v>245674.74882725155</v>
      </c>
      <c r="K42" s="41">
        <f t="shared" si="0"/>
        <v>244254.12216761566</v>
      </c>
      <c r="L42" s="52">
        <f t="shared" si="6"/>
        <v>2.7750685667877271</v>
      </c>
      <c r="M42" s="41">
        <f t="shared" si="1"/>
        <v>2.7590215924563593</v>
      </c>
      <c r="N42" s="50">
        <f t="shared" si="7"/>
        <v>27.826339472896628</v>
      </c>
      <c r="O42" s="41">
        <f t="shared" si="2"/>
        <v>27.988182553965071</v>
      </c>
      <c r="P42" s="43">
        <f>N42*L42*'pressure drop calculations'!$B$7/[1]Mixtures!$D$3</f>
        <v>26385859.107513696</v>
      </c>
      <c r="Q42" s="37"/>
    </row>
    <row r="43" spans="1:17" x14ac:dyDescent="0.2">
      <c r="A43" s="75">
        <v>12</v>
      </c>
      <c r="B43" s="41">
        <f>0.5*((101^2+0.004567*('Conveying system input data'!$E$26^1.85)*'Pipe line section data'!F58*('Conveying system input data'!$B$7^-5))^0.5-101)</f>
        <v>1.0807308302319996</v>
      </c>
      <c r="C43" s="41">
        <f>'Conveying system input data'!$B$26*N43*0.8/'Conveying system input data'!$B$8</f>
        <v>1407.828575327412</v>
      </c>
      <c r="D43" s="41">
        <f>'Conveying system input data'!$H$26*'Conveying system input data'!$F$26*L43*N43^2*'Pipe line section data'!F60/(2*'Conveying system input data'!$B$7)</f>
        <v>763.97412936520197</v>
      </c>
      <c r="E43" s="41"/>
      <c r="F43" s="41"/>
      <c r="G43" s="41"/>
      <c r="H43" s="41">
        <f t="shared" si="4"/>
        <v>2172.883435522846</v>
      </c>
      <c r="I43" s="41">
        <v>25</v>
      </c>
      <c r="J43" s="52">
        <f t="shared" si="5"/>
        <v>244254.12216761566</v>
      </c>
      <c r="K43" s="41">
        <f t="shared" si="0"/>
        <v>242081.23873209281</v>
      </c>
      <c r="L43" s="52">
        <f t="shared" si="6"/>
        <v>2.7590215924563593</v>
      </c>
      <c r="M43" s="41">
        <f t="shared" si="1"/>
        <v>2.7344773503232247</v>
      </c>
      <c r="N43" s="50">
        <f t="shared" si="7"/>
        <v>27.988182553965071</v>
      </c>
      <c r="O43" s="41">
        <f t="shared" si="2"/>
        <v>28.239400114567534</v>
      </c>
      <c r="P43" s="43">
        <f>N43*L43*'pressure drop calculations'!$B$7/[1]Mixtures!$D$3</f>
        <v>26385859.107513696</v>
      </c>
      <c r="Q43" s="37"/>
    </row>
    <row r="44" spans="1:17" x14ac:dyDescent="0.2">
      <c r="A44" s="75">
        <v>13</v>
      </c>
      <c r="B44" s="41">
        <f>0.5*((101^2+0.004567*('Conveying system input data'!$E$26^1.85)*'Pipe line section data'!F59*('Conveying system input data'!$B$7^-5))^0.5-101)</f>
        <v>0.40796275994372166</v>
      </c>
      <c r="C44" s="41">
        <f>'Conveying system input data'!$B$26*N44*0.8/'Conveying system input data'!$B$8</f>
        <v>1420.465025006067</v>
      </c>
      <c r="D44" s="41">
        <f>'Conveying system input data'!$H$26*'Conveying system input data'!$F$26*L44*N44^2*'Pipe line section data'!F61/(2*'Conveying system input data'!$B$7)</f>
        <v>126.44872735804437</v>
      </c>
      <c r="E44" s="41"/>
      <c r="F44" s="41"/>
      <c r="G44" s="41"/>
      <c r="H44" s="41">
        <f t="shared" si="4"/>
        <v>1547.3217151240551</v>
      </c>
      <c r="I44" s="41">
        <v>25</v>
      </c>
      <c r="J44" s="52">
        <f t="shared" si="5"/>
        <v>242081.23873209281</v>
      </c>
      <c r="K44" s="41">
        <f t="shared" si="0"/>
        <v>240533.91701696874</v>
      </c>
      <c r="L44" s="52">
        <f t="shared" si="6"/>
        <v>2.7344773503232247</v>
      </c>
      <c r="M44" s="41">
        <f t="shared" si="1"/>
        <v>2.7169992664955362</v>
      </c>
      <c r="N44" s="50">
        <f t="shared" si="7"/>
        <v>28.239400114567534</v>
      </c>
      <c r="O44" s="41">
        <f t="shared" si="2"/>
        <v>28.421060304370481</v>
      </c>
      <c r="P44" s="43">
        <f>N44*L44*'pressure drop calculations'!$B$7/[1]Mixtures!$D$3</f>
        <v>26385859.107513696</v>
      </c>
      <c r="Q44" s="37"/>
    </row>
    <row r="45" spans="1:17" x14ac:dyDescent="0.2">
      <c r="A45" s="75"/>
      <c r="B45" s="41">
        <f>0.5*((101^2+0.004567*('Conveying system input data'!$E$26^1.85)*'Pipe line section data'!F60*('Conveying system input data'!$B$7^-5))^0.5-101)</f>
        <v>6.2694605400759045</v>
      </c>
      <c r="C45" s="41">
        <f>'Conveying system input data'!$B$26*N45*0.8/'Conveying system input data'!$B$8</f>
        <v>1429.6026817907075</v>
      </c>
      <c r="D45" s="41">
        <f>'Conveying system input data'!$H$26*'Conveying system input data'!$F$26*L45*N45^2*'Pipe line section data'!F62/(2*'Conveying system input data'!$B$7)</f>
        <v>127.2621546872019</v>
      </c>
      <c r="E45" s="41"/>
      <c r="F45" s="41"/>
      <c r="G45" s="41"/>
      <c r="H45" s="41">
        <f t="shared" si="4"/>
        <v>1563.1342970179853</v>
      </c>
      <c r="I45" s="41">
        <v>25</v>
      </c>
      <c r="J45" s="52">
        <f t="shared" si="5"/>
        <v>240533.91701696874</v>
      </c>
      <c r="K45" s="41">
        <f t="shared" si="0"/>
        <v>238970.78271995074</v>
      </c>
      <c r="L45" s="52">
        <f t="shared" si="6"/>
        <v>2.7169992664955362</v>
      </c>
      <c r="M45" s="41">
        <f t="shared" si="1"/>
        <v>2.699342568466824</v>
      </c>
      <c r="N45" s="50">
        <f t="shared" si="7"/>
        <v>28.421060304370481</v>
      </c>
      <c r="O45" s="41">
        <f t="shared" si="2"/>
        <v>28.606965600464527</v>
      </c>
      <c r="P45" s="43">
        <f>N45*L45*'pressure drop calculations'!$B$7/[1]Mixtures!$D$3</f>
        <v>26385859.107513696</v>
      </c>
      <c r="Q45" s="37"/>
    </row>
    <row r="46" spans="1:17" x14ac:dyDescent="0.2">
      <c r="A46" s="75"/>
      <c r="B46" s="41">
        <f>0.5*((101^2+0.004567*('Conveying system input data'!$E$26^1.85)*'Pipe line section data'!F61*('Conveying system input data'!$B$7^-5))^0.5-101)</f>
        <v>1.0807308302319996</v>
      </c>
      <c r="C46" s="41">
        <f>'Conveying system input data'!$B$26*N46*0.8/'Conveying system input data'!$B$8</f>
        <v>1438.9538709092315</v>
      </c>
      <c r="D46" s="41">
        <f>'Conveying system input data'!$H$26*'Conveying system input data'!$F$26*L46*N46^2*'Pipe line section data'!F63/(2*'Conveying system input data'!$B$7)</f>
        <v>128.09459050399838</v>
      </c>
      <c r="E46" s="41"/>
      <c r="F46" s="41"/>
      <c r="G46" s="41"/>
      <c r="H46" s="41">
        <f t="shared" si="4"/>
        <v>1568.1291922434618</v>
      </c>
      <c r="I46" s="41">
        <v>25</v>
      </c>
      <c r="J46" s="52">
        <f t="shared" si="5"/>
        <v>238970.78271995074</v>
      </c>
      <c r="K46" s="41">
        <f t="shared" si="0"/>
        <v>237402.65352770727</v>
      </c>
      <c r="L46" s="52">
        <f t="shared" si="6"/>
        <v>2.699342568466824</v>
      </c>
      <c r="M46" s="41">
        <f t="shared" si="1"/>
        <v>2.6816294495938826</v>
      </c>
      <c r="N46" s="50">
        <f t="shared" si="7"/>
        <v>28.606965600464527</v>
      </c>
      <c r="O46" s="41">
        <f t="shared" si="2"/>
        <v>28.795924810452288</v>
      </c>
      <c r="P46" s="43">
        <f>N46*L46*'pressure drop calculations'!$B$7/[1]Mixtures!$D$3</f>
        <v>26385859.107513696</v>
      </c>
      <c r="Q46" s="37"/>
    </row>
    <row r="47" spans="1:17" x14ac:dyDescent="0.2">
      <c r="A47" s="75"/>
      <c r="B47" s="41">
        <f>0.5*((101^2+0.004567*('Conveying system input data'!$E$26^1.85)*'Pipe line section data'!F62*('Conveying system input data'!$B$7^-5))^0.5-101)</f>
        <v>1.0807308302319996</v>
      </c>
      <c r="C47" s="41">
        <f>'Conveying system input data'!$B$26*N47*0.8/'Conveying system input data'!$B$8</f>
        <v>1448.4586744054618</v>
      </c>
      <c r="D47" s="41">
        <f>'Conveying system input data'!$H$26*'Conveying system input data'!$F$26*L47*N47^2*'Pipe line section data'!F64/(2*'Conveying system input data'!$B$7)</f>
        <v>128.94070095707448</v>
      </c>
      <c r="E47" s="41"/>
      <c r="F47" s="41"/>
      <c r="G47" s="41"/>
      <c r="H47" s="41">
        <f t="shared" si="4"/>
        <v>1578.4801061927683</v>
      </c>
      <c r="I47" s="41">
        <v>25</v>
      </c>
      <c r="J47" s="52">
        <f t="shared" si="5"/>
        <v>237402.65352770727</v>
      </c>
      <c r="K47" s="41">
        <f t="shared" si="0"/>
        <v>235824.17342151451</v>
      </c>
      <c r="L47" s="52">
        <f t="shared" si="6"/>
        <v>2.6816294495938826</v>
      </c>
      <c r="M47" s="41">
        <f t="shared" si="1"/>
        <v>2.6637994098893327</v>
      </c>
      <c r="N47" s="50">
        <f t="shared" si="7"/>
        <v>28.795924810452288</v>
      </c>
      <c r="O47" s="41">
        <f t="shared" si="2"/>
        <v>28.988669234373056</v>
      </c>
      <c r="P47" s="43">
        <f>N47*L47*'pressure drop calculations'!$B$7/[1]Mixtures!$D$3</f>
        <v>26385859.107513696</v>
      </c>
      <c r="Q47" s="37"/>
    </row>
    <row r="48" spans="1:17" x14ac:dyDescent="0.2">
      <c r="A48" s="75"/>
      <c r="B48" s="41">
        <f>0.5*((101^2+0.004567*('Conveying system input data'!$E$26^1.85)*'Pipe line section data'!F63*('Conveying system input data'!$B$7^-5))^0.5-101)</f>
        <v>1.0807308302319996</v>
      </c>
      <c r="C48" s="41">
        <f>'Conveying system input data'!$B$26*N48*0.8/'Conveying system input data'!$B$8</f>
        <v>1458.1538772721528</v>
      </c>
      <c r="D48" s="41">
        <f>'Conveying system input data'!$H$26*'Conveying system input data'!$F$26*L48*N48^2*'Pipe line section data'!F65/(2*'Conveying system input data'!$B$7)</f>
        <v>129.80376061879753</v>
      </c>
      <c r="E48" s="41"/>
      <c r="F48" s="41"/>
      <c r="G48" s="41"/>
      <c r="H48" s="41">
        <f t="shared" si="4"/>
        <v>1589.0383687211822</v>
      </c>
      <c r="I48" s="41">
        <v>25</v>
      </c>
      <c r="J48" s="52">
        <f t="shared" si="5"/>
        <v>235824.17342151451</v>
      </c>
      <c r="K48" s="41">
        <f t="shared" si="0"/>
        <v>234235.13505279334</v>
      </c>
      <c r="L48" s="52">
        <f t="shared" si="6"/>
        <v>2.6637994098893327</v>
      </c>
      <c r="M48" s="41">
        <f t="shared" si="1"/>
        <v>2.6458501072055696</v>
      </c>
      <c r="N48" s="50">
        <f t="shared" si="7"/>
        <v>28.988669234373056</v>
      </c>
      <c r="O48" s="41">
        <f t="shared" si="2"/>
        <v>29.185326783895693</v>
      </c>
      <c r="P48" s="43">
        <f>N48*L48*'pressure drop calculations'!$B$7/[1]Mixtures!$D$3</f>
        <v>26385859.107513696</v>
      </c>
      <c r="Q48" s="37"/>
    </row>
    <row r="49" spans="1:17" x14ac:dyDescent="0.2">
      <c r="A49" s="75">
        <v>14</v>
      </c>
      <c r="B49" s="41">
        <f>0.5*((101^2+0.004567*('Conveying system input data'!$E$26^1.85)*'Pipe line section data'!F64*('Conveying system input data'!$B$7^-5))^0.5-101)</f>
        <v>1.0807308302319996</v>
      </c>
      <c r="C49" s="41">
        <f>'Conveying system input data'!$B$26*N49*0.8/'Conveying system input data'!$B$8</f>
        <v>1468.0459135713304</v>
      </c>
      <c r="D49" s="41">
        <f>'Conveying system input data'!$H$26*'Conveying system input data'!$F$26*L49*N49^2*'Pipe line section data'!F66/(2*'Conveying system input data'!$B$7)</f>
        <v>796.65175032263187</v>
      </c>
      <c r="E49" s="41"/>
      <c r="F49" s="41"/>
      <c r="G49" s="41"/>
      <c r="H49" s="41">
        <f t="shared" si="4"/>
        <v>2265.7783947241942</v>
      </c>
      <c r="I49" s="41">
        <v>25</v>
      </c>
      <c r="J49" s="52">
        <f t="shared" si="5"/>
        <v>234235.13505279334</v>
      </c>
      <c r="K49" s="41">
        <f t="shared" si="0"/>
        <v>231969.35665806915</v>
      </c>
      <c r="L49" s="52">
        <f t="shared" si="6"/>
        <v>2.6458501072055696</v>
      </c>
      <c r="M49" s="41">
        <f t="shared" si="1"/>
        <v>2.6202565513659053</v>
      </c>
      <c r="N49" s="50">
        <f t="shared" si="7"/>
        <v>29.185326783895693</v>
      </c>
      <c r="O49" s="41">
        <f t="shared" si="2"/>
        <v>29.470396690639408</v>
      </c>
      <c r="P49" s="43">
        <f>N49*L49*'pressure drop calculations'!$B$7/[1]Mixtures!$D$3</f>
        <v>26385859.107513696</v>
      </c>
      <c r="Q49" s="37"/>
    </row>
    <row r="50" spans="1:17" x14ac:dyDescent="0.2">
      <c r="A50" s="75">
        <v>15</v>
      </c>
      <c r="B50" s="41">
        <f>0.5*((101^2+0.004567*('Conveying system input data'!$E$26^1.85)*'Pipe line section data'!F65*('Conveying system input data'!$B$7^-5))^0.5-101)</f>
        <v>1.0807308302319996</v>
      </c>
      <c r="C50" s="41">
        <f>'Conveying system input data'!$B$26*N50*0.8/'Conveying system input data'!$B$8</f>
        <v>1482.3851640712837</v>
      </c>
      <c r="D50" s="41">
        <f>'Conveying system input data'!$H$26*'Conveying system input data'!$F$26*L50*N50^2*'Pipe line section data'!F67/(2*'Conveying system input data'!$B$7)</f>
        <v>131.96081153104001</v>
      </c>
      <c r="E50" s="41"/>
      <c r="F50" s="41"/>
      <c r="G50" s="41"/>
      <c r="H50" s="41">
        <f t="shared" si="4"/>
        <v>1615.4267064325556</v>
      </c>
      <c r="I50" s="41">
        <v>25</v>
      </c>
      <c r="J50" s="52">
        <f t="shared" si="5"/>
        <v>231969.35665806915</v>
      </c>
      <c r="K50" s="41">
        <f t="shared" si="0"/>
        <v>230353.92995163659</v>
      </c>
      <c r="L50" s="52">
        <f t="shared" si="6"/>
        <v>2.6202565513659053</v>
      </c>
      <c r="M50" s="41">
        <f t="shared" si="1"/>
        <v>2.6020091739029381</v>
      </c>
      <c r="N50" s="50">
        <f t="shared" si="7"/>
        <v>29.470396690639408</v>
      </c>
      <c r="O50" s="41">
        <f t="shared" si="2"/>
        <v>29.677066773816268</v>
      </c>
      <c r="P50" s="43">
        <f>N50*L50*'pressure drop calculations'!$B$7/[1]Mixtures!$D$3</f>
        <v>26385859.107513696</v>
      </c>
      <c r="Q50" s="37"/>
    </row>
    <row r="51" spans="1:17" x14ac:dyDescent="0.2">
      <c r="A51" s="75"/>
      <c r="B51" s="41">
        <f>0.5*((101^2+0.004567*('Conveying system input data'!$E$26^1.85)*'Pipe line section data'!F66*('Conveying system input data'!$B$7^-5))^0.5-101)</f>
        <v>6.2694605400759045</v>
      </c>
      <c r="C51" s="41">
        <f>'Conveying system input data'!$B$26*N51*0.8/'Conveying system input data'!$B$8</f>
        <v>1492.7808390387693</v>
      </c>
      <c r="D51" s="41">
        <f>'Conveying system input data'!$H$26*'Conveying system input data'!$F$26*L51*N51^2*'Pipe line section data'!F68/(2*'Conveying system input data'!$B$7)</f>
        <v>132.88622669193833</v>
      </c>
      <c r="E51" s="41"/>
      <c r="F51" s="41"/>
      <c r="G51" s="41"/>
      <c r="H51" s="41">
        <f t="shared" si="4"/>
        <v>1631.9365262707836</v>
      </c>
      <c r="I51" s="41">
        <v>25</v>
      </c>
      <c r="J51" s="52">
        <f t="shared" si="5"/>
        <v>230353.92995163659</v>
      </c>
      <c r="K51" s="41">
        <f t="shared" si="0"/>
        <v>228721.9934253658</v>
      </c>
      <c r="L51" s="52">
        <f t="shared" si="6"/>
        <v>2.6020091739029381</v>
      </c>
      <c r="M51" s="41">
        <f t="shared" si="1"/>
        <v>2.5835753064474303</v>
      </c>
      <c r="N51" s="50">
        <f t="shared" si="7"/>
        <v>29.677066773816268</v>
      </c>
      <c r="O51" s="41">
        <f t="shared" si="2"/>
        <v>29.888813307393811</v>
      </c>
      <c r="P51" s="43">
        <f>N51*L51*'pressure drop calculations'!$B$7/[1]Mixtures!$D$3</f>
        <v>26385859.107513696</v>
      </c>
      <c r="Q51" s="37"/>
    </row>
    <row r="52" spans="1:17" x14ac:dyDescent="0.2">
      <c r="A52" s="75"/>
      <c r="B52" s="41">
        <f>0.5*((101^2+0.004567*('Conveying system input data'!$E$26^1.85)*'Pipe line section data'!F67*('Conveying system input data'!$B$7^-5))^0.5-101)</f>
        <v>1.0807308302319996</v>
      </c>
      <c r="C52" s="41">
        <f>'Conveying system input data'!$B$26*N52*0.8/'Conveying system input data'!$B$8</f>
        <v>1503.4318636318171</v>
      </c>
      <c r="D52" s="41">
        <f>'Conveying system input data'!$H$26*'Conveying system input data'!$F$26*L52*N52^2*'Pipe line section data'!F69/(2*'Conveying system input data'!$B$7)</f>
        <v>133.8343728843054</v>
      </c>
      <c r="E52" s="41"/>
      <c r="F52" s="41"/>
      <c r="G52" s="41"/>
      <c r="H52" s="41">
        <f t="shared" si="4"/>
        <v>1638.3469673463544</v>
      </c>
      <c r="I52" s="41">
        <v>25</v>
      </c>
      <c r="J52" s="52">
        <f t="shared" si="5"/>
        <v>228721.9934253658</v>
      </c>
      <c r="K52" s="41">
        <f t="shared" si="0"/>
        <v>227083.64645801944</v>
      </c>
      <c r="L52" s="52">
        <f t="shared" si="6"/>
        <v>2.5835753064474303</v>
      </c>
      <c r="M52" s="41">
        <f t="shared" si="1"/>
        <v>2.5650690285646678</v>
      </c>
      <c r="N52" s="50">
        <f t="shared" si="7"/>
        <v>29.888813307393811</v>
      </c>
      <c r="O52" s="41">
        <f t="shared" si="2"/>
        <v>30.104452995251318</v>
      </c>
      <c r="P52" s="43">
        <f>N52*L52*'pressure drop calculations'!$B$7/[1]Mixtures!$D$3</f>
        <v>26385859.107513696</v>
      </c>
      <c r="Q52" s="37"/>
    </row>
    <row r="53" spans="1:17" x14ac:dyDescent="0.2">
      <c r="A53" s="75"/>
      <c r="B53" s="41">
        <f>0.5*((101^2+0.004567*('Conveying system input data'!$E$26^1.85)*'Pipe line section data'!F68*('Conveying system input data'!$B$7^-5))^0.5-101)</f>
        <v>1.0807308302319996</v>
      </c>
      <c r="C53" s="41">
        <f>'Conveying system input data'!$B$26*N53*0.8/'Conveying system input data'!$B$8</f>
        <v>1514.2787170834526</v>
      </c>
      <c r="D53" s="41">
        <f>'Conveying system input data'!$H$26*'Conveying system input data'!$F$26*L53*N53^2*'Pipe line section data'!F70/(2*'Conveying system input data'!$B$7)</f>
        <v>67.399975807132918</v>
      </c>
      <c r="E53" s="41"/>
      <c r="F53" s="41"/>
      <c r="G53" s="41"/>
      <c r="H53" s="41">
        <f t="shared" si="4"/>
        <v>1582.7594237208175</v>
      </c>
      <c r="I53" s="41">
        <v>25</v>
      </c>
      <c r="J53" s="52">
        <f t="shared" si="5"/>
        <v>227083.64645801944</v>
      </c>
      <c r="K53" s="41">
        <f t="shared" si="0"/>
        <v>225500.88703429862</v>
      </c>
      <c r="L53" s="52">
        <f t="shared" si="6"/>
        <v>2.5650690285646678</v>
      </c>
      <c r="M53" s="41">
        <f t="shared" si="1"/>
        <v>2.5471906509677784</v>
      </c>
      <c r="N53" s="50">
        <f t="shared" si="7"/>
        <v>30.104452995251318</v>
      </c>
      <c r="O53" s="41">
        <f t="shared" si="2"/>
        <v>30.315751971946455</v>
      </c>
      <c r="P53" s="43">
        <f>N53*L53*'pressure drop calculations'!$B$7/[1]Mixtures!$D$3</f>
        <v>26385859.107513696</v>
      </c>
      <c r="Q53" s="37"/>
    </row>
    <row r="54" spans="1:17" x14ac:dyDescent="0.2">
      <c r="A54" s="85" t="s">
        <v>52</v>
      </c>
      <c r="B54" s="53"/>
      <c r="C54" s="53"/>
      <c r="D54" s="53"/>
      <c r="E54" s="53"/>
      <c r="F54" s="53"/>
      <c r="G54" s="53"/>
      <c r="H54" s="54">
        <f>SUM(H4:H53)</f>
        <v>74499.112965701308</v>
      </c>
      <c r="I54" s="53"/>
      <c r="J54" s="53"/>
      <c r="K54" s="53">
        <f>J4-K53</f>
        <v>74499.112965701381</v>
      </c>
      <c r="L54" s="53"/>
      <c r="M54" s="53"/>
      <c r="N54" s="53"/>
      <c r="O54" s="53"/>
      <c r="P54" s="54" t="s">
        <v>80</v>
      </c>
      <c r="Q54" s="55" t="s">
        <v>81</v>
      </c>
    </row>
  </sheetData>
  <mergeCells count="2">
    <mergeCell ref="A2:A3"/>
    <mergeCell ref="B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0943E-8CBD-9448-97FF-E96354B3997B}">
  <dimension ref="A1:Q54"/>
  <sheetViews>
    <sheetView topLeftCell="G2" workbookViewId="0">
      <selection activeCell="H25" sqref="H25"/>
    </sheetView>
  </sheetViews>
  <sheetFormatPr baseColWidth="10" defaultRowHeight="16" x14ac:dyDescent="0.2"/>
  <cols>
    <col min="16" max="16" width="13.5" customWidth="1"/>
  </cols>
  <sheetData>
    <row r="1" spans="1:17" x14ac:dyDescent="0.2">
      <c r="A1" s="74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7"/>
    </row>
    <row r="2" spans="1:17" ht="51" x14ac:dyDescent="0.2">
      <c r="A2" s="147" t="s">
        <v>36</v>
      </c>
      <c r="B2" s="148" t="s">
        <v>51</v>
      </c>
      <c r="C2" s="148"/>
      <c r="D2" s="148"/>
      <c r="E2" s="148"/>
      <c r="F2" s="148"/>
      <c r="G2" s="148"/>
      <c r="H2" s="148"/>
      <c r="I2" s="38" t="s">
        <v>44</v>
      </c>
      <c r="J2" s="38" t="s">
        <v>47</v>
      </c>
      <c r="K2" s="38" t="s">
        <v>48</v>
      </c>
      <c r="L2" s="38" t="s">
        <v>45</v>
      </c>
      <c r="M2" s="38" t="s">
        <v>46</v>
      </c>
      <c r="N2" s="38" t="s">
        <v>49</v>
      </c>
      <c r="O2" s="38" t="s">
        <v>50</v>
      </c>
      <c r="P2" s="39" t="s">
        <v>79</v>
      </c>
      <c r="Q2" s="40"/>
    </row>
    <row r="3" spans="1:17" ht="68" x14ac:dyDescent="0.2">
      <c r="A3" s="147"/>
      <c r="B3" s="38" t="s">
        <v>37</v>
      </c>
      <c r="C3" s="38" t="s">
        <v>38</v>
      </c>
      <c r="D3" s="38" t="s">
        <v>39</v>
      </c>
      <c r="E3" s="38" t="s">
        <v>40</v>
      </c>
      <c r="F3" s="38" t="s">
        <v>41</v>
      </c>
      <c r="G3" s="38" t="s">
        <v>42</v>
      </c>
      <c r="H3" s="38" t="s">
        <v>43</v>
      </c>
      <c r="I3" s="38" t="s">
        <v>23</v>
      </c>
      <c r="J3" s="38" t="s">
        <v>12</v>
      </c>
      <c r="K3" s="38" t="s">
        <v>12</v>
      </c>
      <c r="L3" s="38" t="s">
        <v>6</v>
      </c>
      <c r="M3" s="38" t="s">
        <v>6</v>
      </c>
      <c r="N3" s="38" t="s">
        <v>7</v>
      </c>
      <c r="O3" s="38" t="s">
        <v>7</v>
      </c>
      <c r="P3" s="39"/>
      <c r="Q3" s="40"/>
    </row>
    <row r="4" spans="1:17" x14ac:dyDescent="0.2">
      <c r="A4" s="75">
        <v>1</v>
      </c>
      <c r="B4" s="41">
        <f>0.5*((101^2+0.004567*('Conveying system input data'!$E$26^1.85)*'Pipe line section data'!F21*('Conveying system input data'!$B$7^-5))^0.5-101)</f>
        <v>1.0807308302319996</v>
      </c>
      <c r="C4" s="41">
        <f>'Conveying system input data'!$B$26*N4*0.8/'Conveying system input data'!$B$8</f>
        <v>905.41478736722684</v>
      </c>
      <c r="D4" s="41">
        <f>'Conveying system input data'!$H$26*'Conveying system input data'!$F$26*L4*N4^2*'Pipe line section data'!F21/(2*'Conveying system input data'!$B$7)</f>
        <v>87.738678608537313</v>
      </c>
      <c r="E4" s="41"/>
      <c r="F4" s="41"/>
      <c r="G4" s="41"/>
      <c r="H4" s="41">
        <f>SUM(B4:G4)</f>
        <v>994.23419680599613</v>
      </c>
      <c r="I4" s="41">
        <v>25</v>
      </c>
      <c r="J4" s="42">
        <v>400000</v>
      </c>
      <c r="K4" s="41">
        <f t="shared" ref="K4:K53" si="0">J4-H4</f>
        <v>399005.76580319402</v>
      </c>
      <c r="L4" s="42">
        <v>4.67</v>
      </c>
      <c r="M4" s="41">
        <f t="shared" ref="M4:M53" si="1">28*K4/8.314/(25+273.15)/1000</f>
        <v>4.507049926511149</v>
      </c>
      <c r="N4" s="42">
        <v>18</v>
      </c>
      <c r="O4" s="41">
        <f t="shared" ref="O4:O53" si="2">N4*L4/M4</f>
        <v>18.650780748077889</v>
      </c>
      <c r="P4" s="43">
        <f>N4*L4*'pressure drop calculations'!$B$7/[1]Mixtures!$D$3</f>
        <v>28723068.072748013</v>
      </c>
      <c r="Q4" s="37"/>
    </row>
    <row r="5" spans="1:17" x14ac:dyDescent="0.2">
      <c r="A5" s="75"/>
      <c r="B5" s="41">
        <f>0.5*((101^2+0.004567*('Conveying system input data'!$E$26^1.85)*'Pipe line section data'!F22*('Conveying system input data'!$B$7^-5))^0.5-101)</f>
        <v>1.0807308302319996</v>
      </c>
      <c r="C5" s="41">
        <f>'Conveying system input data'!$B$26*N5*0.8/'Conveying system input data'!$B$8</f>
        <v>938.14959362520608</v>
      </c>
      <c r="D5" s="41">
        <f>'Conveying system input data'!$H$26*'Conveying system input data'!$F$26*L5*N5^2*'Pipe line section data'!F22/(2*'Conveying system input data'!$B$7)</f>
        <v>90.910825436327841</v>
      </c>
      <c r="E5" s="41"/>
      <c r="F5" s="41"/>
      <c r="G5" s="41"/>
      <c r="H5" s="41">
        <f t="shared" ref="H5:H6" si="3">SUM(B5:G5)</f>
        <v>1030.141149891766</v>
      </c>
      <c r="I5" s="41">
        <v>25</v>
      </c>
      <c r="J5" s="41">
        <f>K4</f>
        <v>399005.76580319402</v>
      </c>
      <c r="K5" s="41">
        <f t="shared" si="0"/>
        <v>397975.62465330225</v>
      </c>
      <c r="L5" s="41">
        <f>M4</f>
        <v>4.507049926511149</v>
      </c>
      <c r="M5" s="41">
        <f t="shared" si="1"/>
        <v>4.4954137598392983</v>
      </c>
      <c r="N5" s="41">
        <f>O4</f>
        <v>18.650780748077889</v>
      </c>
      <c r="O5" s="41">
        <f t="shared" si="2"/>
        <v>18.699057415129896</v>
      </c>
      <c r="P5" s="43">
        <f>N5*L5*'pressure drop calculations'!$B$7/[1]Mixtures!$D$3</f>
        <v>28723068.072748013</v>
      </c>
      <c r="Q5" s="37"/>
    </row>
    <row r="6" spans="1:17" x14ac:dyDescent="0.2">
      <c r="A6" s="75"/>
      <c r="B6" s="41">
        <f>0.5*((101^2+0.004567*('Conveying system input data'!$E$26^1.85)*'Pipe line section data'!F23*('Conveying system input data'!$B$7^-5))^0.5-101)</f>
        <v>1.0807308302319996</v>
      </c>
      <c r="C6" s="41">
        <f>'Conveying system input data'!$B$26*N6*0.8/'Conveying system input data'!$B$8</f>
        <v>940.57794963818901</v>
      </c>
      <c r="D6" s="41">
        <f>'Conveying system input data'!$H$26*'Conveying system input data'!$F$26*L6*N6^2*'Pipe line section data'!F23/(2*'Conveying system input data'!$B$7)</f>
        <v>91.146143823814896</v>
      </c>
      <c r="E6" s="41"/>
      <c r="F6" s="41"/>
      <c r="G6" s="41"/>
      <c r="H6" s="41">
        <f t="shared" si="3"/>
        <v>1032.8048242922359</v>
      </c>
      <c r="I6" s="41">
        <v>25</v>
      </c>
      <c r="J6" s="41">
        <f>K5</f>
        <v>397975.62465330225</v>
      </c>
      <c r="K6" s="41">
        <f t="shared" si="0"/>
        <v>396942.81982901</v>
      </c>
      <c r="L6" s="41">
        <f>M5</f>
        <v>4.4954137598392983</v>
      </c>
      <c r="M6" s="41">
        <f t="shared" si="1"/>
        <v>4.483747505097198</v>
      </c>
      <c r="N6" s="41">
        <f>O5</f>
        <v>18.699057415129896</v>
      </c>
      <c r="O6" s="41">
        <f t="shared" si="2"/>
        <v>18.747710459707914</v>
      </c>
      <c r="P6" s="43">
        <f>N6*L6*'pressure drop calculations'!$B$7/[1]Mixtures!$D$3</f>
        <v>28723068.072748013</v>
      </c>
      <c r="Q6" s="37"/>
    </row>
    <row r="7" spans="1:17" x14ac:dyDescent="0.2">
      <c r="A7" s="76">
        <v>2</v>
      </c>
      <c r="B7" s="44">
        <f>0.5*((101^2+0.004567*('Conveying system input data'!$E$26^1.85)*'Pipe line section data'!F24*('Conveying system input data'!$B$7^-5))^0.5-101)</f>
        <v>6.2694605400759045</v>
      </c>
      <c r="C7" s="44">
        <f>'Conveying system input data'!$B$26*N7*0.8/'Conveying system input data'!$B$8</f>
        <v>943.02523774993199</v>
      </c>
      <c r="D7" s="44">
        <f>'Conveying system input data'!$H$26*'Conveying system input data'!$F$26*L7*N7^2*'Pipe line section data'!F24/(2*'Conveying system input data'!$B$7)</f>
        <v>557.07257738431656</v>
      </c>
      <c r="E7" s="44"/>
      <c r="F7" s="44"/>
      <c r="G7" s="44"/>
      <c r="H7" s="44">
        <f t="shared" ref="H7:H53" si="4">SUM(B7:G7)</f>
        <v>1506.3672756743244</v>
      </c>
      <c r="I7" s="44">
        <v>25</v>
      </c>
      <c r="J7" s="44">
        <f>K6</f>
        <v>396942.81982901</v>
      </c>
      <c r="K7" s="41">
        <f t="shared" si="0"/>
        <v>395436.45255333569</v>
      </c>
      <c r="L7" s="44">
        <f>M6</f>
        <v>4.483747505097198</v>
      </c>
      <c r="M7" s="41">
        <f t="shared" si="1"/>
        <v>4.4667320303822899</v>
      </c>
      <c r="N7" s="44">
        <f>O6</f>
        <v>18.747710459707914</v>
      </c>
      <c r="O7" s="41">
        <f t="shared" si="2"/>
        <v>18.819127592215473</v>
      </c>
      <c r="P7" s="43">
        <f>N7*L7*'pressure drop calculations'!$B$7/[1]Mixtures!$D$3</f>
        <v>28723068.072748013</v>
      </c>
      <c r="Q7" s="37"/>
    </row>
    <row r="8" spans="1:17" x14ac:dyDescent="0.2">
      <c r="A8" s="77">
        <f>A7+1</f>
        <v>3</v>
      </c>
      <c r="B8" s="45">
        <f>0.5*((101^2+0.004567*('Conveying system input data'!$E$26^1.85)*'Pipe line section data'!F25*('Conveying system input data'!$B$7^-5))^0.5-101)</f>
        <v>1.0807308302319996</v>
      </c>
      <c r="C8" s="45">
        <f>'Conveying system input data'!$B$26*N8*0.8/'Conveying system input data'!$B$8</f>
        <v>946.61757818569356</v>
      </c>
      <c r="D8" s="45">
        <f>'Conveying system input data'!$H$26*'Conveying system input data'!$F$26*L8*N8^2*'Pipe line section data'!F25/(2*'Conveying system input data'!$B$7)</f>
        <v>91.731410417024989</v>
      </c>
      <c r="E8" s="45"/>
      <c r="F8" s="45"/>
      <c r="G8" s="45"/>
      <c r="H8" s="45">
        <f t="shared" si="4"/>
        <v>1039.4297194329506</v>
      </c>
      <c r="I8" s="45">
        <v>25</v>
      </c>
      <c r="J8" s="45">
        <f>K7</f>
        <v>395436.45255333569</v>
      </c>
      <c r="K8" s="41">
        <f t="shared" si="0"/>
        <v>394397.02283390274</v>
      </c>
      <c r="L8" s="45">
        <f>M7</f>
        <v>4.4667320303822899</v>
      </c>
      <c r="M8" s="41">
        <f t="shared" si="1"/>
        <v>4.4549909428038843</v>
      </c>
      <c r="N8" s="45">
        <f>O7</f>
        <v>18.819127592215473</v>
      </c>
      <c r="O8" s="41">
        <f t="shared" si="2"/>
        <v>18.868725229572359</v>
      </c>
      <c r="P8" s="43">
        <f>N8*L8*'pressure drop calculations'!$B$7/[1]Mixtures!$D$3</f>
        <v>28723068.072748013</v>
      </c>
      <c r="Q8" s="37"/>
    </row>
    <row r="9" spans="1:17" x14ac:dyDescent="0.2">
      <c r="A9" s="77"/>
      <c r="B9" s="45">
        <f>0.5*((101^2+0.004567*('Conveying system input data'!$E$26^1.85)*'Pipe line section data'!F26*('Conveying system input data'!$B$7^-5))^0.5-101)</f>
        <v>1.0807308302319996</v>
      </c>
      <c r="C9" s="45">
        <f>'Conveying system input data'!$B$26*N9*0.8/'Conveying system input data'!$B$8</f>
        <v>949.11238009021588</v>
      </c>
      <c r="D9" s="45">
        <f>'Conveying system input data'!$H$26*'Conveying system input data'!$F$26*L9*N9^2*'Pipe line section data'!F26/(2*'Conveying system input data'!$B$7)</f>
        <v>91.973167703902689</v>
      </c>
      <c r="E9" s="45"/>
      <c r="F9" s="45"/>
      <c r="G9" s="45"/>
      <c r="H9" s="45">
        <f t="shared" si="4"/>
        <v>1042.1662786243505</v>
      </c>
      <c r="I9" s="45">
        <v>25</v>
      </c>
      <c r="J9" s="45">
        <f t="shared" ref="J9:J53" si="5">K8</f>
        <v>394397.02283390274</v>
      </c>
      <c r="K9" s="41">
        <f t="shared" si="0"/>
        <v>393354.85655527841</v>
      </c>
      <c r="L9" s="45">
        <f t="shared" ref="L9:L53" si="6">M8</f>
        <v>4.4549909428038843</v>
      </c>
      <c r="M9" s="41">
        <f t="shared" si="1"/>
        <v>4.4432189438704084</v>
      </c>
      <c r="N9" s="45">
        <f t="shared" ref="N9:N53" si="7">O8</f>
        <v>18.868725229572359</v>
      </c>
      <c r="O9" s="41">
        <f t="shared" si="2"/>
        <v>18.918716602062567</v>
      </c>
      <c r="P9" s="43">
        <f>N9*L9*'pressure drop calculations'!$B$7/[1]Mixtures!$D$3</f>
        <v>28723068.072748013</v>
      </c>
      <c r="Q9" s="37"/>
    </row>
    <row r="10" spans="1:17" x14ac:dyDescent="0.2">
      <c r="A10" s="77"/>
      <c r="B10" s="45">
        <f>0.5*((101^2+0.004567*('Conveying system input data'!$E$26^1.85)*'Pipe line section data'!F27*('Conveying system input data'!$B$7^-5))^0.5-101)</f>
        <v>1.0807308302319996</v>
      </c>
      <c r="C10" s="45">
        <f>'Conveying system input data'!$B$26*N10*0.8/'Conveying system input data'!$B$8</f>
        <v>951.62698719540572</v>
      </c>
      <c r="D10" s="45">
        <f>'Conveying system input data'!$H$26*'Conveying system input data'!$F$26*L10*N10^2*'Pipe line section data'!F27/(2*'Conveying system input data'!$B$7)</f>
        <v>92.21684420190924</v>
      </c>
      <c r="E10" s="45"/>
      <c r="F10" s="45"/>
      <c r="G10" s="45"/>
      <c r="H10" s="45">
        <f t="shared" si="4"/>
        <v>1044.9245622275471</v>
      </c>
      <c r="I10" s="45">
        <v>25</v>
      </c>
      <c r="J10" s="45">
        <f t="shared" si="5"/>
        <v>393354.85655527841</v>
      </c>
      <c r="K10" s="41">
        <f t="shared" si="0"/>
        <v>392309.93199305085</v>
      </c>
      <c r="L10" s="45">
        <f t="shared" si="6"/>
        <v>4.4432189438704084</v>
      </c>
      <c r="M10" s="41">
        <f t="shared" si="1"/>
        <v>4.4314157881893932</v>
      </c>
      <c r="N10" s="45">
        <f t="shared" si="7"/>
        <v>18.918716602062567</v>
      </c>
      <c r="O10" s="41">
        <f t="shared" si="2"/>
        <v>18.969106944114039</v>
      </c>
      <c r="P10" s="43">
        <f>N10*L10*'pressure drop calculations'!$B$7/[1]Mixtures!$D$3</f>
        <v>28723068.072748013</v>
      </c>
      <c r="Q10" s="37"/>
    </row>
    <row r="11" spans="1:17" x14ac:dyDescent="0.2">
      <c r="A11" s="77"/>
      <c r="B11" s="45">
        <f>0.5*((101^2+0.004567*('Conveying system input data'!$E$26^1.85)*'Pipe line section data'!F28*('Conveying system input data'!$B$7^-5))^0.5-101)</f>
        <v>1.0807308302319996</v>
      </c>
      <c r="C11" s="45">
        <f>'Conveying system input data'!$B$26*N11*0.8/'Conveying system input data'!$B$8</f>
        <v>954.16166279728895</v>
      </c>
      <c r="D11" s="45">
        <f>'Conveying system input data'!$H$26*'Conveying system input data'!$F$26*L11*N11^2*'Pipe line section data'!F28/(2*'Conveying system input data'!$B$7)</f>
        <v>92.462465425588604</v>
      </c>
      <c r="E11" s="45"/>
      <c r="F11" s="45"/>
      <c r="G11" s="45"/>
      <c r="H11" s="45">
        <f t="shared" si="4"/>
        <v>1047.7048590531097</v>
      </c>
      <c r="I11" s="45">
        <v>25</v>
      </c>
      <c r="J11" s="45">
        <f t="shared" si="5"/>
        <v>392309.93199305085</v>
      </c>
      <c r="K11" s="41">
        <f t="shared" si="0"/>
        <v>391262.22713399772</v>
      </c>
      <c r="L11" s="45">
        <f t="shared" si="6"/>
        <v>4.4314157881893932</v>
      </c>
      <c r="M11" s="41">
        <f t="shared" si="1"/>
        <v>4.4195812271060584</v>
      </c>
      <c r="N11" s="45">
        <f t="shared" si="7"/>
        <v>18.969106944114039</v>
      </c>
      <c r="O11" s="41">
        <f t="shared" si="2"/>
        <v>19.019901588061202</v>
      </c>
      <c r="P11" s="43">
        <f>N11*L11*'pressure drop calculations'!$B$7/[1]Mixtures!$D$3</f>
        <v>28723068.072748013</v>
      </c>
      <c r="Q11" s="37"/>
    </row>
    <row r="12" spans="1:17" x14ac:dyDescent="0.2">
      <c r="A12" s="77"/>
      <c r="B12" s="45">
        <f>0.5*((101^2+0.004567*('Conveying system input data'!$E$26^1.85)*'Pipe line section data'!F29*('Conveying system input data'!$B$7^-5))^0.5-101)</f>
        <v>1.0807308302319996</v>
      </c>
      <c r="C12" s="45">
        <f>'Conveying system input data'!$B$26*N12*0.8/'Conveying system input data'!$B$8</f>
        <v>956.71667511666749</v>
      </c>
      <c r="D12" s="45">
        <f>'Conveying system input data'!$H$26*'Conveying system input data'!$F$26*L12*N12^2*'Pipe line section data'!F29/(2*'Conveying system input data'!$B$7)</f>
        <v>92.710057366717237</v>
      </c>
      <c r="E12" s="45"/>
      <c r="F12" s="45"/>
      <c r="G12" s="45"/>
      <c r="H12" s="45">
        <f t="shared" si="4"/>
        <v>1050.5074633136167</v>
      </c>
      <c r="I12" s="45">
        <v>25</v>
      </c>
      <c r="J12" s="45">
        <f t="shared" si="5"/>
        <v>391262.22713399772</v>
      </c>
      <c r="K12" s="41">
        <f t="shared" si="0"/>
        <v>390211.71967068408</v>
      </c>
      <c r="L12" s="45">
        <f t="shared" si="6"/>
        <v>4.4195812271060584</v>
      </c>
      <c r="M12" s="41">
        <f t="shared" si="1"/>
        <v>4.4077150086422829</v>
      </c>
      <c r="N12" s="45">
        <f t="shared" si="7"/>
        <v>19.019901588061202</v>
      </c>
      <c r="O12" s="41">
        <f t="shared" si="2"/>
        <v>19.071105966511471</v>
      </c>
      <c r="P12" s="43">
        <f>N12*L12*'pressure drop calculations'!$B$7/[1]Mixtures!$D$3</f>
        <v>28723068.072748013</v>
      </c>
      <c r="Q12" s="37"/>
    </row>
    <row r="13" spans="1:17" x14ac:dyDescent="0.2">
      <c r="A13" s="77"/>
      <c r="B13" s="45">
        <f>0.5*((101^2+0.004567*('Conveying system input data'!$E$26^1.85)*'Pipe line section data'!F30*('Conveying system input data'!$B$7^-5))^0.5-101)</f>
        <v>1.0807308302319996</v>
      </c>
      <c r="C13" s="45">
        <f>'Conveying system input data'!$B$26*N13*0.8/'Conveying system input data'!$B$8</f>
        <v>959.29229741815743</v>
      </c>
      <c r="D13" s="45">
        <f>'Conveying system input data'!$H$26*'Conveying system input data'!$F$26*L13*N13^2*'Pipe line section data'!F30/(2*'Conveying system input data'!$B$7)</f>
        <v>92.959646505839345</v>
      </c>
      <c r="E13" s="45"/>
      <c r="F13" s="45"/>
      <c r="G13" s="45"/>
      <c r="H13" s="45">
        <f t="shared" si="4"/>
        <v>1053.3326747542287</v>
      </c>
      <c r="I13" s="45">
        <v>25</v>
      </c>
      <c r="J13" s="45">
        <f t="shared" si="5"/>
        <v>390211.71967068408</v>
      </c>
      <c r="K13" s="41">
        <f t="shared" si="0"/>
        <v>389158.38699592988</v>
      </c>
      <c r="L13" s="45">
        <f t="shared" si="6"/>
        <v>4.4077150086422829</v>
      </c>
      <c r="M13" s="41">
        <f t="shared" si="1"/>
        <v>4.3958168774341129</v>
      </c>
      <c r="N13" s="45">
        <f t="shared" si="7"/>
        <v>19.071105966511471</v>
      </c>
      <c r="O13" s="41">
        <f t="shared" si="2"/>
        <v>19.122725614781924</v>
      </c>
      <c r="P13" s="43">
        <f>N13*L13*'pressure drop calculations'!$B$7/[1]Mixtures!$D$3</f>
        <v>28723068.072748013</v>
      </c>
      <c r="Q13" s="37"/>
    </row>
    <row r="14" spans="1:17" x14ac:dyDescent="0.2">
      <c r="A14" s="77"/>
      <c r="B14" s="45">
        <f>0.5*((101^2+0.004567*('Conveying system input data'!$E$26^1.85)*'Pipe line section data'!F31*('Conveying system input data'!$B$7^-5))^0.5-101)</f>
        <v>1.0807308302319996</v>
      </c>
      <c r="C14" s="45">
        <f>'Conveying system input data'!$B$26*N14*0.8/'Conveying system input data'!$B$8</f>
        <v>961.88880813275546</v>
      </c>
      <c r="D14" s="45">
        <f>'Conveying system input data'!$H$26*'Conveying system input data'!$F$26*L14*N14^2*'Pipe line section data'!F31/(2*'Conveying system input data'!$B$7)</f>
        <v>93.211259824144179</v>
      </c>
      <c r="E14" s="45"/>
      <c r="F14" s="45"/>
      <c r="G14" s="45"/>
      <c r="H14" s="45">
        <f t="shared" si="4"/>
        <v>1056.1807987871316</v>
      </c>
      <c r="I14" s="45">
        <v>25</v>
      </c>
      <c r="J14" s="45">
        <f t="shared" si="5"/>
        <v>389158.38699592988</v>
      </c>
      <c r="K14" s="41">
        <f t="shared" si="0"/>
        <v>388102.20619714272</v>
      </c>
      <c r="L14" s="45">
        <f t="shared" si="6"/>
        <v>4.3958168774341129</v>
      </c>
      <c r="M14" s="41">
        <f t="shared" si="1"/>
        <v>4.3838865746677511</v>
      </c>
      <c r="N14" s="45">
        <f t="shared" si="7"/>
        <v>19.122725614781924</v>
      </c>
      <c r="O14" s="41">
        <f t="shared" si="2"/>
        <v>19.174766173408763</v>
      </c>
      <c r="P14" s="43">
        <f>N14*L14*'pressure drop calculations'!$B$7/[1]Mixtures!$D$3</f>
        <v>28723068.072748013</v>
      </c>
      <c r="Q14" s="37"/>
    </row>
    <row r="15" spans="1:17" x14ac:dyDescent="0.2">
      <c r="A15" s="77"/>
      <c r="B15" s="45">
        <f>0.5*((101^2+0.004567*('Conveying system input data'!$E$26^1.85)*'Pipe line section data'!F32*('Conveying system input data'!$B$7^-5))^0.5-101)</f>
        <v>1.0807308302319996</v>
      </c>
      <c r="C15" s="45">
        <f>'Conveying system input data'!$B$26*N15*0.8/'Conveying system input data'!$B$8</f>
        <v>964.50649098406598</v>
      </c>
      <c r="D15" s="45">
        <f>'Conveying system input data'!$H$26*'Conveying system input data'!$F$26*L15*N15^2*'Pipe line section data'!F32/(2*'Conveying system input data'!$B$7)</f>
        <v>93.464924815697998</v>
      </c>
      <c r="E15" s="45"/>
      <c r="F15" s="45"/>
      <c r="G15" s="45"/>
      <c r="H15" s="45">
        <f t="shared" si="4"/>
        <v>1059.0521466299961</v>
      </c>
      <c r="I15" s="45">
        <v>25</v>
      </c>
      <c r="J15" s="45">
        <f t="shared" si="5"/>
        <v>388102.20619714272</v>
      </c>
      <c r="K15" s="41">
        <f t="shared" si="0"/>
        <v>387043.1540505127</v>
      </c>
      <c r="L15" s="45">
        <f t="shared" si="6"/>
        <v>4.3838865746677511</v>
      </c>
      <c r="M15" s="41">
        <f t="shared" si="1"/>
        <v>4.3719238380139789</v>
      </c>
      <c r="N15" s="45">
        <f t="shared" si="7"/>
        <v>19.174766173408763</v>
      </c>
      <c r="O15" s="41">
        <f t="shared" si="2"/>
        <v>19.227233390732099</v>
      </c>
      <c r="P15" s="43">
        <f>N15*L15*'pressure drop calculations'!$B$7/[1]Mixtures!$D$3</f>
        <v>28723068.072748013</v>
      </c>
      <c r="Q15" s="37"/>
    </row>
    <row r="16" spans="1:17" x14ac:dyDescent="0.2">
      <c r="A16" s="77"/>
      <c r="B16" s="45">
        <f>0.5*((101^2+0.004567*('Conveying system input data'!$E$26^1.85)*'Pipe line section data'!F33*('Conveying system input data'!$B$7^-5))^0.5-101)</f>
        <v>1.0807308302319996</v>
      </c>
      <c r="C16" s="45">
        <f>'Conveying system input data'!$B$26*N16*0.8/'Conveying system input data'!$B$8</f>
        <v>967.14563511831932</v>
      </c>
      <c r="D16" s="45">
        <f>'Conveying system input data'!$H$26*'Conveying system input data'!$F$26*L16*N16^2*'Pipe line section data'!F33/(2*'Conveying system input data'!$B$7)</f>
        <v>93.720669500043385</v>
      </c>
      <c r="E16" s="45"/>
      <c r="F16" s="45"/>
      <c r="G16" s="45"/>
      <c r="H16" s="45">
        <f t="shared" si="4"/>
        <v>1061.9470354485948</v>
      </c>
      <c r="I16" s="45">
        <v>25</v>
      </c>
      <c r="J16" s="45">
        <f t="shared" si="5"/>
        <v>387043.1540505127</v>
      </c>
      <c r="K16" s="41">
        <f t="shared" si="0"/>
        <v>385981.20701506414</v>
      </c>
      <c r="L16" s="45">
        <f t="shared" si="6"/>
        <v>4.3719238380139789</v>
      </c>
      <c r="M16" s="41">
        <f t="shared" si="1"/>
        <v>4.3599284015609676</v>
      </c>
      <c r="N16" s="45">
        <f t="shared" si="7"/>
        <v>19.227233390732099</v>
      </c>
      <c r="O16" s="41">
        <f t="shared" si="2"/>
        <v>19.280133125558745</v>
      </c>
      <c r="P16" s="43">
        <f>N16*L16*'pressure drop calculations'!$B$7/[1]Mixtures!$D$3</f>
        <v>28723068.072748013</v>
      </c>
      <c r="Q16" s="37"/>
    </row>
    <row r="17" spans="1:17" x14ac:dyDescent="0.2">
      <c r="A17" s="77"/>
      <c r="B17" s="45">
        <f>0.5*((101^2+0.004567*('Conveying system input data'!$E$26^1.85)*'Pipe line section data'!F34*('Conveying system input data'!$B$7^-5))^0.5-101)</f>
        <v>1.0807308302319996</v>
      </c>
      <c r="C17" s="45">
        <v>651.51342253896314</v>
      </c>
      <c r="D17" s="45">
        <f>'Conveying system input data'!$H$26*'Conveying system input data'!$F$26*L17*N17^2*'Pipe line section data'!F34/(2*'Conveying system input data'!$B$7)</f>
        <v>93.97852243517849</v>
      </c>
      <c r="E17" s="45"/>
      <c r="F17" s="45"/>
      <c r="G17" s="45"/>
      <c r="H17" s="45">
        <f t="shared" si="4"/>
        <v>746.5726758043736</v>
      </c>
      <c r="I17" s="45">
        <v>25</v>
      </c>
      <c r="J17" s="45">
        <f t="shared" si="5"/>
        <v>385981.20701506414</v>
      </c>
      <c r="K17" s="41">
        <f t="shared" si="0"/>
        <v>385234.63433925976</v>
      </c>
      <c r="L17" s="45">
        <f t="shared" si="6"/>
        <v>4.3599284015609676</v>
      </c>
      <c r="M17" s="41">
        <f t="shared" si="1"/>
        <v>4.3514953396555942</v>
      </c>
      <c r="N17" s="45">
        <f t="shared" si="7"/>
        <v>19.280133125558745</v>
      </c>
      <c r="O17" s="41">
        <f t="shared" si="2"/>
        <v>19.317497420703447</v>
      </c>
      <c r="P17" s="43">
        <f>N17*L17*'pressure drop calculations'!$B$7/[1]Mixtures!$D$3</f>
        <v>28723068.072748013</v>
      </c>
      <c r="Q17" s="37"/>
    </row>
    <row r="18" spans="1:17" x14ac:dyDescent="0.2">
      <c r="A18" s="77"/>
      <c r="B18" s="45">
        <f>0.5*((101^2+0.004567*('Conveying system input data'!$E$26^1.85)*'Pipe line section data'!F35*('Conveying system input data'!$B$7^-5))^0.5-101)</f>
        <v>0.54322576493792951</v>
      </c>
      <c r="C18" s="45">
        <f>'Conveying system input data'!$B$26*N18*0.8/'Conveying system input data'!$B$8</f>
        <v>971.68598997962033</v>
      </c>
      <c r="D18" s="45">
        <f>'Conveying system input data'!$H$26*'Conveying system input data'!$F$26*L18*N18^2*'Pipe line section data'!F35/(2*'Conveying system input data'!$B$7)</f>
        <v>47.080324936565226</v>
      </c>
      <c r="E18" s="45"/>
      <c r="F18" s="45"/>
      <c r="G18" s="45"/>
      <c r="H18" s="45">
        <f t="shared" si="4"/>
        <v>1019.3095406811235</v>
      </c>
      <c r="I18" s="45">
        <v>25</v>
      </c>
      <c r="J18" s="45">
        <f t="shared" si="5"/>
        <v>385234.63433925976</v>
      </c>
      <c r="K18" s="41">
        <f t="shared" si="0"/>
        <v>384215.32479857863</v>
      </c>
      <c r="L18" s="45">
        <f t="shared" si="6"/>
        <v>4.3514953396555942</v>
      </c>
      <c r="M18" s="41">
        <f t="shared" si="1"/>
        <v>4.3399815236054158</v>
      </c>
      <c r="N18" s="45">
        <f t="shared" si="7"/>
        <v>19.317497420703447</v>
      </c>
      <c r="O18" s="41">
        <f t="shared" si="2"/>
        <v>19.368746051749923</v>
      </c>
      <c r="P18" s="43">
        <f>N18*L18*'pressure drop calculations'!$B$7/[1]Mixtures!$D$3</f>
        <v>28723068.072748013</v>
      </c>
      <c r="Q18" s="37"/>
    </row>
    <row r="19" spans="1:17" x14ac:dyDescent="0.2">
      <c r="A19" s="78">
        <f>A8+1</f>
        <v>4</v>
      </c>
      <c r="B19" s="46">
        <f>0.5*((101^2+0.004567*('Conveying system input data'!$E$26^1.85)*'Pipe line section data'!F36*('Conveying system input data'!$B$7^-5))^0.5-101)</f>
        <v>6.2694605400759045</v>
      </c>
      <c r="C19" s="46">
        <f>'Conveying system input data'!$B$26*N19*0.8/'Conveying system input data'!$B$8</f>
        <v>974.26383822305388</v>
      </c>
      <c r="D19" s="46">
        <f>'Conveying system input data'!$H$26*'Conveying system input data'!$F$26*L19*N19^2*'Pipe line section data'!F36/(2*'Conveying system input data'!$B$7)</f>
        <v>575.52613194767343</v>
      </c>
      <c r="E19" s="46"/>
      <c r="F19" s="46"/>
      <c r="G19" s="46"/>
      <c r="H19" s="46">
        <f t="shared" si="4"/>
        <v>1556.0594307108031</v>
      </c>
      <c r="I19" s="46">
        <v>25</v>
      </c>
      <c r="J19" s="46">
        <f t="shared" si="5"/>
        <v>384215.32479857863</v>
      </c>
      <c r="K19" s="41">
        <f t="shared" si="0"/>
        <v>382659.26536786783</v>
      </c>
      <c r="L19" s="46">
        <f t="shared" si="6"/>
        <v>4.3399815236054158</v>
      </c>
      <c r="M19" s="41">
        <f t="shared" si="1"/>
        <v>4.3224047411528739</v>
      </c>
      <c r="N19" s="46">
        <f t="shared" si="7"/>
        <v>19.368746051749923</v>
      </c>
      <c r="O19" s="41">
        <f t="shared" si="2"/>
        <v>19.447507818895158</v>
      </c>
      <c r="P19" s="43">
        <f>N19*L19*'pressure drop calculations'!$B$7/[1]Mixtures!$D$3</f>
        <v>28723068.072748013</v>
      </c>
      <c r="Q19" s="37"/>
    </row>
    <row r="20" spans="1:17" x14ac:dyDescent="0.2">
      <c r="A20" s="79">
        <f t="shared" ref="A20:A28" si="8">A19+1</f>
        <v>5</v>
      </c>
      <c r="B20" s="47">
        <f>0.5*((101^2+0.004567*('Conveying system input data'!$E$26^1.85)*'Pipe line section data'!F37*('Conveying system input data'!$B$7^-5))^0.5-101)</f>
        <v>1.0807308302319996</v>
      </c>
      <c r="C20" s="47">
        <f>'Conveying system input data'!$B$26*N20*0.8/'Conveying system input data'!$B$8</f>
        <v>978.22561981485774</v>
      </c>
      <c r="D20" s="47">
        <f>'Conveying system input data'!$H$26*'Conveying system input data'!$F$26*L20*N20^2*'Pipe line section data'!F37/(2*'Conveying system input data'!$B$7)</f>
        <v>94.794368792169934</v>
      </c>
      <c r="E20" s="47"/>
      <c r="F20" s="47"/>
      <c r="G20" s="47"/>
      <c r="H20" s="47">
        <f t="shared" si="4"/>
        <v>1074.1007194372596</v>
      </c>
      <c r="I20" s="47">
        <v>25</v>
      </c>
      <c r="J20" s="47">
        <f t="shared" si="5"/>
        <v>382659.26536786783</v>
      </c>
      <c r="K20" s="41">
        <f t="shared" si="0"/>
        <v>381585.1646484306</v>
      </c>
      <c r="L20" s="47">
        <f t="shared" si="6"/>
        <v>4.3224047411528739</v>
      </c>
      <c r="M20" s="41">
        <f t="shared" si="1"/>
        <v>4.3102720203164715</v>
      </c>
      <c r="N20" s="47">
        <f t="shared" si="7"/>
        <v>19.447507818895158</v>
      </c>
      <c r="O20" s="41">
        <f t="shared" si="2"/>
        <v>19.502249418083853</v>
      </c>
      <c r="P20" s="43">
        <f>N20*L20*'pressure drop calculations'!$B$7/[1]Mixtures!$D$3</f>
        <v>28723068.072748013</v>
      </c>
      <c r="Q20" s="37"/>
    </row>
    <row r="21" spans="1:17" x14ac:dyDescent="0.2">
      <c r="A21" s="79"/>
      <c r="B21" s="47">
        <f>0.5*((101^2+0.004567*('Conveying system input data'!$E$26^1.85)*'Pipe line section data'!F38*('Conveying system input data'!$B$7^-5))^0.5-101)</f>
        <v>1.0807308302319996</v>
      </c>
      <c r="C21" s="47">
        <f>'Conveying system input data'!$B$26*N21*0.8/'Conveying system input data'!$B$8</f>
        <v>980.97916722538969</v>
      </c>
      <c r="D21" s="47">
        <f>'Conveying system input data'!$H$26*'Conveying system input data'!$F$26*L21*N21^2*'Pipe line section data'!F38/(2*'Conveying system input data'!$B$7)</f>
        <v>95.06119965759963</v>
      </c>
      <c r="E21" s="47"/>
      <c r="F21" s="47"/>
      <c r="G21" s="47"/>
      <c r="H21" s="47">
        <f t="shared" si="4"/>
        <v>1077.1210977132214</v>
      </c>
      <c r="I21" s="47">
        <v>25</v>
      </c>
      <c r="J21" s="47">
        <f t="shared" si="5"/>
        <v>381585.1646484306</v>
      </c>
      <c r="K21" s="41">
        <f t="shared" si="0"/>
        <v>380508.04355071735</v>
      </c>
      <c r="L21" s="47">
        <f t="shared" si="6"/>
        <v>4.3102720203164715</v>
      </c>
      <c r="M21" s="41">
        <f t="shared" si="1"/>
        <v>4.298105182189409</v>
      </c>
      <c r="N21" s="47">
        <f t="shared" si="7"/>
        <v>19.502249418083853</v>
      </c>
      <c r="O21" s="41">
        <f t="shared" si="2"/>
        <v>19.557455305730965</v>
      </c>
      <c r="P21" s="43">
        <f>N21*L21*'pressure drop calculations'!$B$7/[1]Mixtures!$D$3</f>
        <v>28723068.072748013</v>
      </c>
      <c r="Q21" s="37"/>
    </row>
    <row r="22" spans="1:17" x14ac:dyDescent="0.2">
      <c r="A22" s="79"/>
      <c r="B22" s="47">
        <f>0.5*((101^2+0.004567*('Conveying system input data'!$E$26^1.85)*'Pipe line section data'!F39*('Conveying system input data'!$B$7^-5))^0.5-101)</f>
        <v>1.0807308302319996</v>
      </c>
      <c r="C22" s="47">
        <f>'Conveying system input data'!$B$26*N22*0.8/'Conveying system input data'!$B$8</f>
        <v>983.75606872680248</v>
      </c>
      <c r="D22" s="47">
        <f>'Conveying system input data'!$H$26*'Conveying system input data'!$F$26*L22*N22^2*'Pipe line section data'!F39/(2*'Conveying system input data'!$B$7)</f>
        <v>95.330293637242349</v>
      </c>
      <c r="E22" s="47"/>
      <c r="F22" s="47"/>
      <c r="G22" s="47"/>
      <c r="H22" s="47">
        <f t="shared" si="4"/>
        <v>1080.167093194277</v>
      </c>
      <c r="I22" s="47">
        <v>25</v>
      </c>
      <c r="J22" s="47">
        <f t="shared" si="5"/>
        <v>380508.04355071735</v>
      </c>
      <c r="K22" s="41">
        <f t="shared" si="0"/>
        <v>379427.87645752309</v>
      </c>
      <c r="L22" s="47">
        <f t="shared" si="6"/>
        <v>4.298105182189409</v>
      </c>
      <c r="M22" s="41">
        <f t="shared" si="1"/>
        <v>4.285903937407392</v>
      </c>
      <c r="N22" s="47">
        <f t="shared" si="7"/>
        <v>19.557455305730965</v>
      </c>
      <c r="O22" s="41">
        <f t="shared" si="2"/>
        <v>19.613132078468652</v>
      </c>
      <c r="P22" s="43">
        <f>N22*L22*'pressure drop calculations'!$B$7/[1]Mixtures!$D$3</f>
        <v>28723068.072748013</v>
      </c>
      <c r="Q22" s="37"/>
    </row>
    <row r="23" spans="1:17" x14ac:dyDescent="0.2">
      <c r="A23" s="79"/>
      <c r="B23" s="47">
        <f>0.5*((101^2+0.004567*('Conveying system input data'!$E$26^1.85)*'Pipe line section data'!F40*('Conveying system input data'!$B$7^-5))^0.5-101)</f>
        <v>1.0807308302319996</v>
      </c>
      <c r="C23" s="47">
        <f>'Conveying system input data'!$B$26*N23*0.8/'Conveying system input data'!$B$8</f>
        <v>986.5566561351128</v>
      </c>
      <c r="D23" s="47">
        <f>'Conveying system input data'!$H$26*'Conveying system input data'!$F$26*L23*N23^2*'Pipe line section data'!F40/(2*'Conveying system input data'!$B$7)</f>
        <v>95.601682885530806</v>
      </c>
      <c r="E23" s="47"/>
      <c r="F23" s="47"/>
      <c r="G23" s="47"/>
      <c r="H23" s="47">
        <f t="shared" si="4"/>
        <v>1083.2390698508757</v>
      </c>
      <c r="I23" s="47">
        <v>25</v>
      </c>
      <c r="J23" s="47">
        <f t="shared" si="5"/>
        <v>379427.87645752309</v>
      </c>
      <c r="K23" s="41">
        <f t="shared" si="0"/>
        <v>378344.63738767221</v>
      </c>
      <c r="L23" s="47">
        <f t="shared" si="6"/>
        <v>4.285903937407392</v>
      </c>
      <c r="M23" s="41">
        <f t="shared" si="1"/>
        <v>4.273667992494822</v>
      </c>
      <c r="N23" s="47">
        <f t="shared" si="7"/>
        <v>19.613132078468652</v>
      </c>
      <c r="O23" s="41">
        <f t="shared" si="2"/>
        <v>19.669286464840393</v>
      </c>
      <c r="P23" s="43">
        <f>N23*L23*'pressure drop calculations'!$B$7/[1]Mixtures!$D$3</f>
        <v>28723068.072748013</v>
      </c>
      <c r="Q23" s="37"/>
    </row>
    <row r="24" spans="1:17" x14ac:dyDescent="0.2">
      <c r="A24" s="79"/>
      <c r="B24" s="47">
        <f>0.5*((101^2+0.004567*('Conveying system input data'!$E$26^1.85)*'Pipe line section data'!F41*('Conveying system input data'!$B$7^-5))^0.5-101)</f>
        <v>1.0807308302319996</v>
      </c>
      <c r="C24" s="47">
        <f>'Conveying system input data'!$B$26*N24*0.8/'Conveying system input data'!$B$8</f>
        <v>989.38126790158549</v>
      </c>
      <c r="D24" s="47">
        <f>'Conveying system input data'!$H$26*'Conveying system input data'!$F$26*L24*N24^2*'Pipe line section data'!F41/(2*'Conveying system input data'!$B$7)</f>
        <v>95.875400199882478</v>
      </c>
      <c r="E24" s="47"/>
      <c r="F24" s="47"/>
      <c r="G24" s="47"/>
      <c r="H24" s="47">
        <f t="shared" si="4"/>
        <v>1086.3373989316999</v>
      </c>
      <c r="I24" s="47">
        <v>25</v>
      </c>
      <c r="J24" s="47">
        <f t="shared" si="5"/>
        <v>378344.63738767221</v>
      </c>
      <c r="K24" s="41">
        <f t="shared" si="0"/>
        <v>377258.29998874053</v>
      </c>
      <c r="L24" s="47">
        <f t="shared" si="6"/>
        <v>4.273667992494822</v>
      </c>
      <c r="M24" s="41">
        <f t="shared" si="1"/>
        <v>4.2613970497825902</v>
      </c>
      <c r="N24" s="47">
        <f t="shared" si="7"/>
        <v>19.669286464840393</v>
      </c>
      <c r="O24" s="41">
        <f t="shared" si="2"/>
        <v>19.725925328710833</v>
      </c>
      <c r="P24" s="43">
        <f>N24*L24*'pressure drop calculations'!$B$7/[1]Mixtures!$D$3</f>
        <v>28723068.072748013</v>
      </c>
      <c r="Q24" s="37"/>
    </row>
    <row r="25" spans="1:17" x14ac:dyDescent="0.2">
      <c r="A25" s="79"/>
      <c r="B25" s="47">
        <f>0.5*((101^2+0.004567*('Conveying system input data'!$E$26^1.85)*'Pipe line section data'!F42*('Conveying system input data'!$B$7^-5))^0.5-101)</f>
        <v>1.0807308302319996</v>
      </c>
      <c r="C25" s="47">
        <f>'Conveying system input data'!$B$26*N25*0.8/'Conveying system input data'!$B$8</f>
        <v>992.2302492842507</v>
      </c>
      <c r="D25" s="47">
        <f>'Conveying system input data'!$H$26*'Conveying system input data'!$F$26*L25*N25^2*'Pipe line section data'!F42/(2*'Conveying system input data'!$B$7)</f>
        <v>96.151479037320314</v>
      </c>
      <c r="E25" s="47"/>
      <c r="F25" s="47"/>
      <c r="G25" s="47"/>
      <c r="H25" s="47">
        <f t="shared" si="4"/>
        <v>1089.4624591518032</v>
      </c>
      <c r="I25" s="47">
        <v>25</v>
      </c>
      <c r="J25" s="47">
        <f t="shared" si="5"/>
        <v>377258.29998874053</v>
      </c>
      <c r="K25" s="41">
        <f t="shared" si="0"/>
        <v>376168.83752958872</v>
      </c>
      <c r="L25" s="47">
        <f t="shared" si="6"/>
        <v>4.2613970497825902</v>
      </c>
      <c r="M25" s="41">
        <f t="shared" si="1"/>
        <v>4.2490908073237312</v>
      </c>
      <c r="N25" s="47">
        <f t="shared" si="7"/>
        <v>19.725925328710833</v>
      </c>
      <c r="O25" s="41">
        <f t="shared" si="2"/>
        <v>19.783055672783984</v>
      </c>
      <c r="P25" s="43">
        <f>N25*L25*'pressure drop calculations'!$B$7/[1]Mixtures!$D$3</f>
        <v>28723068.072748013</v>
      </c>
      <c r="Q25" s="37"/>
    </row>
    <row r="26" spans="1:17" x14ac:dyDescent="0.2">
      <c r="A26" s="79"/>
      <c r="B26" s="47">
        <f>0.5*((101^2+0.004567*('Conveying system input data'!$E$26^1.85)*'Pipe line section data'!F43*('Conveying system input data'!$B$7^-5))^0.5-101)</f>
        <v>0.54322576493792951</v>
      </c>
      <c r="C26" s="47">
        <f>'Conveying system input data'!$B$26*N26*0.8/'Conveying system input data'!$B$8</f>
        <v>995.10395252487342</v>
      </c>
      <c r="D26" s="47">
        <f>'Conveying system input data'!$H$26*'Conveying system input data'!$F$26*L26*N26^2*'Pipe line section data'!F43/(2*'Conveying system input data'!$B$7)</f>
        <v>48.214976765810974</v>
      </c>
      <c r="E26" s="47"/>
      <c r="F26" s="47"/>
      <c r="G26" s="47"/>
      <c r="H26" s="47">
        <f t="shared" si="4"/>
        <v>1043.8621550556222</v>
      </c>
      <c r="I26" s="47">
        <v>25</v>
      </c>
      <c r="J26" s="47">
        <f t="shared" si="5"/>
        <v>376168.83752958872</v>
      </c>
      <c r="K26" s="41">
        <f t="shared" si="0"/>
        <v>375124.9753745331</v>
      </c>
      <c r="L26" s="47">
        <f t="shared" si="6"/>
        <v>4.2490908073237312</v>
      </c>
      <c r="M26" s="41">
        <f t="shared" si="1"/>
        <v>4.2372996522767341</v>
      </c>
      <c r="N26" s="47">
        <f t="shared" si="7"/>
        <v>19.783055672783984</v>
      </c>
      <c r="O26" s="41">
        <f t="shared" si="2"/>
        <v>19.838106081271341</v>
      </c>
      <c r="P26" s="43">
        <f>N26*L26*'pressure drop calculations'!$B$7/[1]Mixtures!$D$3</f>
        <v>28723068.072748013</v>
      </c>
      <c r="Q26" s="37"/>
    </row>
    <row r="27" spans="1:17" x14ac:dyDescent="0.2">
      <c r="A27" s="80">
        <v>6</v>
      </c>
      <c r="B27" s="48">
        <f>0.5*((101^2+0.004567*('Conveying system input data'!$E$26^1.85)*'Pipe line section data'!F44*('Conveying system input data'!$B$7^-5))^0.5-101)</f>
        <v>6.2694605400759045</v>
      </c>
      <c r="C27" s="48">
        <f>'Conveying system input data'!$B$26*N27*0.8/'Conveying system input data'!$B$8</f>
        <v>997.87303329682118</v>
      </c>
      <c r="D27" s="48">
        <f>'Conveying system input data'!$H$26*'Conveying system input data'!$F$26*L27*N27^2*'Pipe line section data'!F44/(2*'Conveying system input data'!$B$7)</f>
        <v>589.47277369513461</v>
      </c>
      <c r="E27" s="48"/>
      <c r="F27" s="48"/>
      <c r="G27" s="48"/>
      <c r="H27" s="48">
        <f t="shared" si="4"/>
        <v>1593.6152675320318</v>
      </c>
      <c r="I27" s="48">
        <v>25</v>
      </c>
      <c r="J27" s="48">
        <f t="shared" si="5"/>
        <v>375124.9753745331</v>
      </c>
      <c r="K27" s="41">
        <f t="shared" si="0"/>
        <v>373531.36010700109</v>
      </c>
      <c r="L27" s="48">
        <f t="shared" si="6"/>
        <v>4.2372996522767341</v>
      </c>
      <c r="M27" s="41">
        <f t="shared" si="1"/>
        <v>4.2192986503113641</v>
      </c>
      <c r="N27" s="48">
        <f t="shared" si="7"/>
        <v>19.838106081271341</v>
      </c>
      <c r="O27" s="41">
        <f t="shared" si="2"/>
        <v>19.922742371838691</v>
      </c>
      <c r="P27" s="43">
        <f>N27*L27*'pressure drop calculations'!$B$7/[1]Mixtures!$D$3</f>
        <v>28723068.072748013</v>
      </c>
      <c r="Q27" s="37"/>
    </row>
    <row r="28" spans="1:17" x14ac:dyDescent="0.2">
      <c r="A28" s="81">
        <f t="shared" si="8"/>
        <v>7</v>
      </c>
      <c r="B28" s="49">
        <f>0.5*((101^2+0.004567*('Conveying system input data'!$E$26^1.85)*'Pipe line section data'!F45*('Conveying system input data'!$B$7^-5))^0.5-101)</f>
        <v>1.0807308302319996</v>
      </c>
      <c r="C28" s="49">
        <f>'Conveying system input data'!$B$26*N28*0.8/'Conveying system input data'!$B$8</f>
        <v>1002.1303082427983</v>
      </c>
      <c r="D28" s="49">
        <f>'Conveying system input data'!$H$26*'Conveying system input data'!$F$26*L28*N28^2*'Pipe line section data'!F45/(2*'Conveying system input data'!$B$7)</f>
        <v>97.110838331302418</v>
      </c>
      <c r="E28" s="49">
        <f>'Pipe line section data'!F45*'pressure drop calculations'!L28*'Conveying system input data'!$B$10</f>
        <v>34.442405053764318</v>
      </c>
      <c r="F28" s="49">
        <f>'Pipe line section data'!F45*'Conveying system input data'!$D$19*'Conveying system input data'!$B$10/(N28*0.8)</f>
        <v>77.400717780425339</v>
      </c>
      <c r="G28" s="49"/>
      <c r="H28" s="49">
        <f t="shared" si="4"/>
        <v>1212.1650002385225</v>
      </c>
      <c r="I28" s="49">
        <v>25</v>
      </c>
      <c r="J28" s="49">
        <f t="shared" si="5"/>
        <v>373531.36010700109</v>
      </c>
      <c r="K28" s="41">
        <f t="shared" si="0"/>
        <v>372319.19510676258</v>
      </c>
      <c r="L28" s="49">
        <f t="shared" si="6"/>
        <v>4.2192986503113641</v>
      </c>
      <c r="M28" s="41">
        <f t="shared" si="1"/>
        <v>4.2056063966060915</v>
      </c>
      <c r="N28" s="93">
        <f t="shared" si="7"/>
        <v>19.922742371838691</v>
      </c>
      <c r="O28" s="41">
        <f t="shared" si="2"/>
        <v>19.987605132956837</v>
      </c>
      <c r="P28" s="43">
        <f>N28*L28*'pressure drop calculations'!$B$7/[1]Mixtures!$D$3</f>
        <v>28723068.072748013</v>
      </c>
      <c r="Q28" s="37"/>
    </row>
    <row r="29" spans="1:17" x14ac:dyDescent="0.2">
      <c r="A29" s="82"/>
      <c r="B29" s="49">
        <f>0.5*((101^2+0.004567*('Conveying system input data'!$E$26^1.85)*'Pipe line section data'!F46*('Conveying system input data'!$B$7^-5))^0.5-101)</f>
        <v>1.0807308302319996</v>
      </c>
      <c r="C29" s="49">
        <f>'Conveying system input data'!$B$26*N29*0.8/'Conveying system input data'!$B$8</f>
        <v>1005.3929584131226</v>
      </c>
      <c r="D29" s="49">
        <f>'Conveying system input data'!$H$26*'Conveying system input data'!$F$26*L29*N29^2*'Pipe line section data'!F46/(2*'Conveying system input data'!$B$7)</f>
        <v>97.427003495269474</v>
      </c>
      <c r="E29" s="49">
        <f>'Pipe line section data'!F46*'pressure drop calculations'!L29*'Conveying system input data'!$B$10</f>
        <v>33.96105048042218</v>
      </c>
      <c r="F29" s="49">
        <f>'Pipe line section data'!F46*'Conveying system input data'!$D$19*'Conveying system input data'!$B$10/(N29*0.8)</f>
        <v>77.149540901836374</v>
      </c>
      <c r="G29" s="49"/>
      <c r="H29" s="49">
        <f t="shared" si="4"/>
        <v>1215.0112841208829</v>
      </c>
      <c r="I29" s="49">
        <v>25</v>
      </c>
      <c r="J29" s="49">
        <f t="shared" si="5"/>
        <v>372319.19510676258</v>
      </c>
      <c r="K29" s="41">
        <f t="shared" si="0"/>
        <v>371104.18382264167</v>
      </c>
      <c r="L29" s="49">
        <f t="shared" si="6"/>
        <v>4.2056063966060915</v>
      </c>
      <c r="M29" s="41">
        <f t="shared" si="1"/>
        <v>4.1918819921284154</v>
      </c>
      <c r="N29" s="49">
        <f t="shared" si="7"/>
        <v>19.987605132956837</v>
      </c>
      <c r="O29" s="41">
        <f t="shared" si="2"/>
        <v>20.053045423952597</v>
      </c>
      <c r="P29" s="43">
        <f>N29*L29*'pressure drop calculations'!$B$7/[1]Mixtures!$D$3</f>
        <v>28723068.072748013</v>
      </c>
      <c r="Q29" s="37"/>
    </row>
    <row r="30" spans="1:17" x14ac:dyDescent="0.2">
      <c r="A30" s="82"/>
      <c r="B30" s="49">
        <f>0.5*((101^2+0.004567*('Conveying system input data'!$E$26^1.85)*'Pipe line section data'!F47*('Conveying system input data'!$B$7^-5))^0.5-101)</f>
        <v>1.0807308302319996</v>
      </c>
      <c r="C30" s="49">
        <f>'Conveying system input data'!$B$26*N30*0.8/'Conveying system input data'!$B$8</f>
        <v>1008.6846588107435</v>
      </c>
      <c r="D30" s="49">
        <f>'Conveying system input data'!$H$26*'Conveying system input data'!$F$26*L30*N30^2*'Pipe line section data'!F47/(2*'Conveying system input data'!$B$7)</f>
        <v>97.745983754143168</v>
      </c>
      <c r="E30" s="49">
        <f>'Pipe line section data'!F47*'pressure drop calculations'!L30*'Conveying system input data'!$B$10</f>
        <v>33.473340444214742</v>
      </c>
      <c r="F30" s="49">
        <f>'Pipe line section data'!F47*'Conveying system input data'!$D$19*'Conveying system input data'!$B$10/(N30*0.8)</f>
        <v>76.897774234975145</v>
      </c>
      <c r="G30" s="49"/>
      <c r="H30" s="49">
        <f t="shared" si="4"/>
        <v>1217.8824880743086</v>
      </c>
      <c r="I30" s="49">
        <v>25</v>
      </c>
      <c r="J30" s="49">
        <f t="shared" si="5"/>
        <v>371104.18382264167</v>
      </c>
      <c r="K30" s="41">
        <f t="shared" si="0"/>
        <v>369886.30133456737</v>
      </c>
      <c r="L30" s="49">
        <f t="shared" si="6"/>
        <v>4.1918819921284154</v>
      </c>
      <c r="M30" s="41">
        <f t="shared" si="1"/>
        <v>4.1781251553886634</v>
      </c>
      <c r="N30" s="49">
        <f t="shared" si="7"/>
        <v>20.053045423952597</v>
      </c>
      <c r="O30" s="41">
        <f t="shared" si="2"/>
        <v>20.119071802237688</v>
      </c>
      <c r="P30" s="43">
        <f>N30*L30*'pressure drop calculations'!$B$7/[1]Mixtures!$D$3</f>
        <v>28723068.072748013</v>
      </c>
      <c r="Q30" s="37"/>
    </row>
    <row r="31" spans="1:17" x14ac:dyDescent="0.2">
      <c r="A31" s="82"/>
      <c r="B31" s="49">
        <f>0.5*((101^2+0.004567*('Conveying system input data'!$E$26^1.85)*'Pipe line section data'!F48*('Conveying system input data'!$B$7^-5))^0.5-101)</f>
        <v>1.0807308302319996</v>
      </c>
      <c r="C31" s="49">
        <f>'Conveying system input data'!$B$26*N31*0.8/'Conveying system input data'!$B$8</f>
        <v>1012.0058398805005</v>
      </c>
      <c r="D31" s="49">
        <f>'Conveying system input data'!$H$26*'Conveying system input data'!$F$26*L31*N31^2*'Pipe line section data'!F48/(2*'Conveying system input data'!$B$7)</f>
        <v>98.067820819923227</v>
      </c>
      <c r="E31" s="49">
        <f>'Pipe line section data'!F48*'pressure drop calculations'!L31*'Conveying system input data'!$B$10</f>
        <v>32.978997856682113</v>
      </c>
      <c r="F31" s="49">
        <f>'Pipe line section data'!F48*'Conveying system input data'!$D$19*'Conveying system input data'!$B$10/(N31*0.8)</f>
        <v>76.6454126160681</v>
      </c>
      <c r="G31" s="49"/>
      <c r="H31" s="49">
        <f t="shared" si="4"/>
        <v>1220.7788020034061</v>
      </c>
      <c r="I31" s="49">
        <v>25</v>
      </c>
      <c r="J31" s="49">
        <f t="shared" si="5"/>
        <v>369886.30133456737</v>
      </c>
      <c r="K31" s="41">
        <f t="shared" si="0"/>
        <v>368665.52253256395</v>
      </c>
      <c r="L31" s="49">
        <f t="shared" si="6"/>
        <v>4.1781251553886634</v>
      </c>
      <c r="M31" s="41">
        <f t="shared" si="1"/>
        <v>4.1643356027520486</v>
      </c>
      <c r="N31" s="49">
        <f t="shared" si="7"/>
        <v>20.119071802237688</v>
      </c>
      <c r="O31" s="41">
        <f t="shared" si="2"/>
        <v>20.18569299372702</v>
      </c>
      <c r="P31" s="43">
        <f>N31*L31*'pressure drop calculations'!$B$7/[1]Mixtures!$D$3</f>
        <v>28723068.072748013</v>
      </c>
      <c r="Q31" s="37"/>
    </row>
    <row r="32" spans="1:17" x14ac:dyDescent="0.2">
      <c r="A32" s="82"/>
      <c r="B32" s="49">
        <f>0.5*((101^2+0.004567*('Conveying system input data'!$E$26^1.85)*'Pipe line section data'!F49*('Conveying system input data'!$B$7^-5))^0.5-101)</f>
        <v>0.1363527924613237</v>
      </c>
      <c r="C32" s="49">
        <f>'Conveying system input data'!$B$26*N32*0.8/'Conveying system input data'!$B$8</f>
        <v>1015.3569405430817</v>
      </c>
      <c r="D32" s="49">
        <f>'Conveying system input data'!$H$26*'Conveying system input data'!$F$26*L32*N32^2*'Pipe line section data'!F49/(2*'Conveying system input data'!$B$7)</f>
        <v>12.299069653244574</v>
      </c>
      <c r="E32" s="49">
        <f>'Pipe line section data'!F49*'pressure drop calculations'!L32*'Conveying system input data'!$B$10</f>
        <v>4.0597156609391494</v>
      </c>
      <c r="F32" s="49">
        <f>'Pipe line section data'!F49*'Conveying system input data'!$D$19*'Conveying system input data'!$B$10/(N32*0.8)</f>
        <v>9.5490563552488421</v>
      </c>
      <c r="G32" s="49"/>
      <c r="H32" s="49">
        <f t="shared" si="4"/>
        <v>1041.4011350049757</v>
      </c>
      <c r="I32" s="49">
        <v>25</v>
      </c>
      <c r="J32" s="49">
        <f t="shared" si="5"/>
        <v>368665.52253256395</v>
      </c>
      <c r="K32" s="41">
        <f t="shared" si="0"/>
        <v>367624.12139755895</v>
      </c>
      <c r="L32" s="49">
        <f t="shared" si="6"/>
        <v>4.1643356027520486</v>
      </c>
      <c r="M32" s="41">
        <f t="shared" si="1"/>
        <v>4.1525722466523076</v>
      </c>
      <c r="N32" s="49">
        <f t="shared" si="7"/>
        <v>20.18569299372702</v>
      </c>
      <c r="O32" s="41">
        <f t="shared" si="2"/>
        <v>20.242874779064213</v>
      </c>
      <c r="P32" s="43">
        <f>N32*L32*'pressure drop calculations'!$B$7/[1]Mixtures!$D$3</f>
        <v>28723068.072748013</v>
      </c>
      <c r="Q32" s="37"/>
    </row>
    <row r="33" spans="1:17" x14ac:dyDescent="0.2">
      <c r="A33" s="83">
        <v>8</v>
      </c>
      <c r="B33" s="50">
        <f>0.5*((101^2+0.004567*('Conveying system input data'!$E$26^1.85)*'Pipe line section data'!F50*('Conveying system input data'!$B$7^-5))^0.5-101)</f>
        <v>6.2694605400759045</v>
      </c>
      <c r="C33" s="50">
        <f>'Conveying system input data'!$B$26*N33*0.8/'Conveying system input data'!$B$8</f>
        <v>1018.233231321546</v>
      </c>
      <c r="D33" s="50">
        <f>'Conveying system input data'!$H$26*'Conveying system input data'!$F$26*L33*N33^2*'Pipe line section data'!F50/(2*'Conveying system input data'!$B$7)</f>
        <v>601.50013790094397</v>
      </c>
      <c r="E33" s="50"/>
      <c r="F33" s="50"/>
      <c r="G33" s="50"/>
      <c r="H33" s="50">
        <f t="shared" si="4"/>
        <v>1626.0028297625659</v>
      </c>
      <c r="I33" s="50">
        <v>25</v>
      </c>
      <c r="J33" s="50">
        <f t="shared" si="5"/>
        <v>367624.12139755895</v>
      </c>
      <c r="K33" s="41">
        <f t="shared" si="0"/>
        <v>365998.11856779637</v>
      </c>
      <c r="L33" s="50">
        <f t="shared" si="6"/>
        <v>4.1525722466523076</v>
      </c>
      <c r="M33" s="41">
        <f t="shared" si="1"/>
        <v>4.1342054044598493</v>
      </c>
      <c r="N33" s="50">
        <f t="shared" si="7"/>
        <v>20.242874779064213</v>
      </c>
      <c r="O33" s="41">
        <f t="shared" si="2"/>
        <v>20.332806857956008</v>
      </c>
      <c r="P33" s="51">
        <f>N33*L33*'pressure drop calculations'!$B$7/[1]Mixtures!$D$3</f>
        <v>28723068.072748013</v>
      </c>
      <c r="Q33" s="37"/>
    </row>
    <row r="34" spans="1:17" x14ac:dyDescent="0.2">
      <c r="A34" s="84">
        <v>9</v>
      </c>
      <c r="B34" s="52">
        <f>0.5*((101^2+0.004567*('Conveying system input data'!$E$26^1.85)*'Pipe line section data'!F51*('Conveying system input data'!$B$7^-5))^0.5-101)</f>
        <v>1.0807308302319996</v>
      </c>
      <c r="C34" s="52">
        <f>'Conveying system input data'!$B$26*N34*0.8/'Conveying system input data'!$B$8</f>
        <v>1022.7568887708406</v>
      </c>
      <c r="D34" s="52">
        <f>'Conveying system input data'!$H$26*'Conveying system input data'!$F$26*L34*N34^2*'Pipe line section data'!F51/(2*'Conveying system input data'!$B$7)</f>
        <v>99.109644784425868</v>
      </c>
      <c r="E34" s="52"/>
      <c r="F34" s="52"/>
      <c r="G34" s="52"/>
      <c r="H34" s="52">
        <f t="shared" si="4"/>
        <v>1122.9472643854986</v>
      </c>
      <c r="I34" s="52">
        <v>25</v>
      </c>
      <c r="J34" s="52">
        <f t="shared" si="5"/>
        <v>365998.11856779637</v>
      </c>
      <c r="K34" s="41">
        <f t="shared" si="0"/>
        <v>364875.17130341084</v>
      </c>
      <c r="L34" s="52">
        <f t="shared" si="6"/>
        <v>4.1342054044598493</v>
      </c>
      <c r="M34" s="41">
        <f t="shared" si="1"/>
        <v>4.1215209276447409</v>
      </c>
      <c r="N34" s="50">
        <f t="shared" si="7"/>
        <v>20.332806857956008</v>
      </c>
      <c r="O34" s="41">
        <f t="shared" si="2"/>
        <v>20.395383518781848</v>
      </c>
      <c r="P34" s="43">
        <f>N34*L34*'pressure drop calculations'!$B$7/[1]Mixtures!$D$3</f>
        <v>28723068.072748013</v>
      </c>
      <c r="Q34" s="37"/>
    </row>
    <row r="35" spans="1:17" x14ac:dyDescent="0.2">
      <c r="A35" s="84"/>
      <c r="B35" s="52">
        <f>0.5*((101^2+0.004567*('Conveying system input data'!$E$26^1.85)*'Pipe line section data'!F52*('Conveying system input data'!$B$7^-5))^0.5-101)</f>
        <v>1.0807308302319996</v>
      </c>
      <c r="C35" s="52">
        <f>'Conveying system input data'!$B$26*N35*0.8/'Conveying system input data'!$B$8</f>
        <v>1025.904546218384</v>
      </c>
      <c r="D35" s="52">
        <f>'Conveying system input data'!$H$26*'Conveying system input data'!$F$26*L35*N35^2*'Pipe line section data'!F52/(2*'Conveying system input data'!$B$7)</f>
        <v>99.414666647347758</v>
      </c>
      <c r="E35" s="52"/>
      <c r="F35" s="52"/>
      <c r="G35" s="52"/>
      <c r="H35" s="52">
        <f t="shared" si="4"/>
        <v>1126.3999436959637</v>
      </c>
      <c r="I35" s="52">
        <v>25</v>
      </c>
      <c r="J35" s="52">
        <f t="shared" si="5"/>
        <v>364875.17130341084</v>
      </c>
      <c r="K35" s="41">
        <f t="shared" si="0"/>
        <v>363748.77135971485</v>
      </c>
      <c r="L35" s="52">
        <f t="shared" si="6"/>
        <v>4.1215209276447409</v>
      </c>
      <c r="M35" s="41">
        <f t="shared" si="1"/>
        <v>4.1087974503956408</v>
      </c>
      <c r="N35" s="50">
        <f t="shared" si="7"/>
        <v>20.395383518781848</v>
      </c>
      <c r="O35" s="41">
        <f t="shared" si="2"/>
        <v>20.458540732375546</v>
      </c>
      <c r="P35" s="43">
        <f>N35*L35*'pressure drop calculations'!$B$7/[1]Mixtures!$D$3</f>
        <v>28723068.072748013</v>
      </c>
      <c r="Q35" s="37"/>
    </row>
    <row r="36" spans="1:17" x14ac:dyDescent="0.2">
      <c r="A36" s="84"/>
      <c r="B36" s="52">
        <f>0.5*((101^2+0.004567*('Conveying system input data'!$E$26^1.85)*'Pipe line section data'!F53*('Conveying system input data'!$B$7^-5))^0.5-101)</f>
        <v>1.0807308302319996</v>
      </c>
      <c r="C36" s="52">
        <f>'Conveying system input data'!$B$26*N36*0.8/'Conveying system input data'!$B$8</f>
        <v>1029.0814059470863</v>
      </c>
      <c r="D36" s="52">
        <f>'Conveying system input data'!$H$26*'Conveying system input data'!$F$26*L36*N36^2*'Pipe line section data'!F53/(2*'Conveying system input data'!$B$7)</f>
        <v>99.722518339864877</v>
      </c>
      <c r="E36" s="52"/>
      <c r="F36" s="52"/>
      <c r="G36" s="52"/>
      <c r="H36" s="52">
        <f t="shared" si="4"/>
        <v>1129.884655117183</v>
      </c>
      <c r="I36" s="52">
        <v>25</v>
      </c>
      <c r="J36" s="52">
        <f t="shared" si="5"/>
        <v>363748.77135971485</v>
      </c>
      <c r="K36" s="41">
        <f t="shared" si="0"/>
        <v>362618.88670459768</v>
      </c>
      <c r="L36" s="52">
        <f t="shared" si="6"/>
        <v>4.1087974503956408</v>
      </c>
      <c r="M36" s="41">
        <f t="shared" si="1"/>
        <v>4.0960346108873917</v>
      </c>
      <c r="N36" s="50">
        <f t="shared" si="7"/>
        <v>20.458540732375546</v>
      </c>
      <c r="O36" s="41">
        <f t="shared" si="2"/>
        <v>20.522287525736679</v>
      </c>
      <c r="P36" s="43">
        <f>N36*L36*'pressure drop calculations'!$B$7/[1]Mixtures!$D$3</f>
        <v>28723068.072748013</v>
      </c>
      <c r="Q36" s="37"/>
    </row>
    <row r="37" spans="1:17" x14ac:dyDescent="0.2">
      <c r="A37" s="84"/>
      <c r="B37" s="52">
        <f>0.5*((101^2+0.004567*('Conveying system input data'!$E$26^1.85)*'Pipe line section data'!F54*('Conveying system input data'!$B$7^-5))^0.5-101)</f>
        <v>1.0807308302319996</v>
      </c>
      <c r="C37" s="52">
        <f>'Conveying system input data'!$B$26*N37*0.8/'Conveying system input data'!$B$8</f>
        <v>1032.2879220224427</v>
      </c>
      <c r="D37" s="52">
        <f>'Conveying system input data'!$H$26*'Conveying system input data'!$F$26*L37*N37^2*'Pipe line section data'!F54/(2*'Conveying system input data'!$B$7)</f>
        <v>100.03324386292249</v>
      </c>
      <c r="E37" s="52"/>
      <c r="F37" s="52"/>
      <c r="G37" s="52"/>
      <c r="H37" s="52">
        <f t="shared" si="4"/>
        <v>1133.4018967155971</v>
      </c>
      <c r="I37" s="52">
        <v>25</v>
      </c>
      <c r="J37" s="52">
        <f t="shared" si="5"/>
        <v>362618.88670459768</v>
      </c>
      <c r="K37" s="41">
        <f t="shared" si="0"/>
        <v>361485.48480788211</v>
      </c>
      <c r="L37" s="52">
        <f t="shared" si="6"/>
        <v>4.0960346108873917</v>
      </c>
      <c r="M37" s="41">
        <f t="shared" si="1"/>
        <v>4.0832320416688335</v>
      </c>
      <c r="N37" s="50">
        <f t="shared" si="7"/>
        <v>20.522287525736679</v>
      </c>
      <c r="O37" s="41">
        <f t="shared" si="2"/>
        <v>20.586633123510747</v>
      </c>
      <c r="P37" s="43">
        <f>N37*L37*'pressure drop calculations'!$B$7/[1]Mixtures!$D$3</f>
        <v>28723068.072748013</v>
      </c>
      <c r="Q37" s="37"/>
    </row>
    <row r="38" spans="1:17" x14ac:dyDescent="0.2">
      <c r="A38" s="84"/>
      <c r="B38" s="52">
        <f>0.5*((101^2+0.004567*('Conveying system input data'!$E$26^1.85)*'Pipe line section data'!F55*('Conveying system input data'!$B$7^-5))^0.5-101)</f>
        <v>1.0807308302319996</v>
      </c>
      <c r="C38" s="52">
        <f>'Conveying system input data'!$B$26*N38*0.8/'Conveying system input data'!$B$8</f>
        <v>1035.5245584516997</v>
      </c>
      <c r="D38" s="52">
        <f>'Conveying system input data'!$H$26*'Conveying system input data'!$F$26*L38*N38^2*'Pipe line section data'!F55/(2*'Conveying system input data'!$B$7)</f>
        <v>100.34688818086546</v>
      </c>
      <c r="E38" s="52"/>
      <c r="F38" s="52"/>
      <c r="G38" s="52"/>
      <c r="H38" s="52">
        <f t="shared" si="4"/>
        <v>1136.9521774627972</v>
      </c>
      <c r="I38" s="52">
        <v>25</v>
      </c>
      <c r="J38" s="52">
        <f t="shared" si="5"/>
        <v>361485.48480788211</v>
      </c>
      <c r="K38" s="41">
        <f t="shared" si="0"/>
        <v>360348.5326304193</v>
      </c>
      <c r="L38" s="52">
        <f t="shared" si="6"/>
        <v>4.0832320416688335</v>
      </c>
      <c r="M38" s="41">
        <f t="shared" si="1"/>
        <v>4.0703893695396092</v>
      </c>
      <c r="N38" s="50">
        <f t="shared" si="7"/>
        <v>20.586633123510747</v>
      </c>
      <c r="O38" s="41">
        <f t="shared" si="2"/>
        <v>20.651586953586168</v>
      </c>
      <c r="P38" s="43">
        <f>N38*L38*'pressure drop calculations'!$B$7/[1]Mixtures!$D$3</f>
        <v>28723068.072748013</v>
      </c>
      <c r="Q38" s="37"/>
    </row>
    <row r="39" spans="1:17" x14ac:dyDescent="0.2">
      <c r="A39" s="84"/>
      <c r="B39" s="52">
        <f>0.5*((101^2+0.004567*('Conveying system input data'!$E$26^1.85)*'Pipe line section data'!F56*('Conveying system input data'!$B$7^-5))^0.5-101)</f>
        <v>0.54322576493792951</v>
      </c>
      <c r="C39" s="52">
        <f>'Conveying system input data'!$B$26*N39*0.8/'Conveying system input data'!$B$8</f>
        <v>1038.7917894653897</v>
      </c>
      <c r="D39" s="52">
        <f>'Conveying system input data'!$H$26*'Conveying system input data'!$F$26*L39*N39^2*'Pipe line section data'!F56/(2*'Conveying system input data'!$B$7)</f>
        <v>50.331748624359982</v>
      </c>
      <c r="E39" s="52"/>
      <c r="F39" s="52"/>
      <c r="G39" s="52"/>
      <c r="H39" s="52">
        <f t="shared" si="4"/>
        <v>1089.6667638546876</v>
      </c>
      <c r="I39" s="52">
        <v>25</v>
      </c>
      <c r="J39" s="52">
        <f t="shared" si="5"/>
        <v>360348.5326304193</v>
      </c>
      <c r="K39" s="41">
        <f t="shared" si="0"/>
        <v>359258.86586656462</v>
      </c>
      <c r="L39" s="52">
        <f t="shared" si="6"/>
        <v>4.0703893695396092</v>
      </c>
      <c r="M39" s="41">
        <f t="shared" si="1"/>
        <v>4.0580808193158626</v>
      </c>
      <c r="N39" s="50">
        <f t="shared" si="7"/>
        <v>20.651586953586168</v>
      </c>
      <c r="O39" s="41">
        <f t="shared" si="2"/>
        <v>20.714225207119309</v>
      </c>
      <c r="P39" s="43">
        <f>N39*L39*'pressure drop calculations'!$B$7/[1]Mixtures!$D$3</f>
        <v>28723068.072748013</v>
      </c>
      <c r="Q39" s="37"/>
    </row>
    <row r="40" spans="1:17" x14ac:dyDescent="0.2">
      <c r="A40" s="75">
        <v>10</v>
      </c>
      <c r="B40" s="41">
        <f>0.5*((101^2+0.004567*('Conveying system input data'!$E$26^1.85)*'Pipe line section data'!F55*('Conveying system input data'!$B$7^-5))^0.5-101)</f>
        <v>1.0807308302319996</v>
      </c>
      <c r="C40" s="41">
        <f>'Conveying system input data'!$B$26*N40*0.8/'Conveying system input data'!$B$8</f>
        <v>1041.9425450767101</v>
      </c>
      <c r="D40" s="41">
        <f>'Conveying system input data'!$H$26*'Conveying system input data'!$F$26*L40*N40^2*'Pipe line section data'!F57/(2*'Conveying system input data'!$B$7)</f>
        <v>615.50592268048683</v>
      </c>
      <c r="E40" s="41"/>
      <c r="F40" s="41"/>
      <c r="G40" s="41"/>
      <c r="H40" s="41">
        <f t="shared" si="4"/>
        <v>1658.5291985874287</v>
      </c>
      <c r="I40" s="41">
        <v>25</v>
      </c>
      <c r="J40" s="52">
        <f t="shared" si="5"/>
        <v>359258.86586656462</v>
      </c>
      <c r="K40" s="41">
        <f t="shared" si="0"/>
        <v>357600.33666797722</v>
      </c>
      <c r="L40" s="52">
        <f t="shared" si="6"/>
        <v>4.0580808193158626</v>
      </c>
      <c r="M40" s="41">
        <f t="shared" si="1"/>
        <v>4.0393465689784955</v>
      </c>
      <c r="N40" s="50">
        <f t="shared" si="7"/>
        <v>20.714225207119309</v>
      </c>
      <c r="O40" s="41">
        <f t="shared" si="2"/>
        <v>20.810296557756821</v>
      </c>
      <c r="P40" s="43">
        <f>N40*L40*'pressure drop calculations'!$B$7/[1]Mixtures!$D$3</f>
        <v>28723068.072748013</v>
      </c>
      <c r="Q40" s="37"/>
    </row>
    <row r="41" spans="1:17" x14ac:dyDescent="0.2">
      <c r="A41" s="81">
        <v>11</v>
      </c>
      <c r="B41" s="41">
        <f>0.5*((101^2+0.004567*('Conveying system input data'!$E$26^1.85)*'Pipe line section data'!F56*('Conveying system input data'!$B$7^-5))^0.5-101)</f>
        <v>0.54322576493792951</v>
      </c>
      <c r="C41" s="41">
        <f>'Conveying system input data'!$B$26*N41*0.8/'Conveying system input data'!$B$8</f>
        <v>1046.7750129383514</v>
      </c>
      <c r="D41" s="41">
        <f>'Conveying system input data'!$H$26*'Conveying system input data'!$F$26*L41*N41^2*'Pipe line section data'!F58/(2*'Conveying system input data'!$B$7)</f>
        <v>101.43710674607647</v>
      </c>
      <c r="E41" s="41">
        <f>-'Pipe line section data'!F58*L41*'Conveying system input data'!$B$10</f>
        <v>-79.251979683358087</v>
      </c>
      <c r="F41" s="41">
        <f>-'Pipe line section data'!F58*'Conveying system input data'!$D$19*'Conveying system input data'!$B$10/('pressure drop calculations'!N41*0.8)</f>
        <v>-31.69599428190881</v>
      </c>
      <c r="G41" s="41"/>
      <c r="H41" s="41">
        <f t="shared" si="4"/>
        <v>1037.8073714840991</v>
      </c>
      <c r="I41" s="41">
        <v>25</v>
      </c>
      <c r="J41" s="52">
        <f t="shared" si="5"/>
        <v>357600.33666797722</v>
      </c>
      <c r="K41" s="41">
        <f t="shared" si="0"/>
        <v>356562.5292964931</v>
      </c>
      <c r="L41" s="52">
        <f t="shared" si="6"/>
        <v>4.0393465689784955</v>
      </c>
      <c r="M41" s="41">
        <f t="shared" si="1"/>
        <v>4.0276238069578403</v>
      </c>
      <c r="N41" s="50">
        <f t="shared" si="7"/>
        <v>20.810296557756821</v>
      </c>
      <c r="O41" s="41">
        <f t="shared" si="2"/>
        <v>20.870866801110832</v>
      </c>
      <c r="P41" s="43">
        <f>N41*L41*'pressure drop calculations'!$B$7/[1]Mixtures!$D$3</f>
        <v>28723068.072748013</v>
      </c>
      <c r="Q41" s="37"/>
    </row>
    <row r="42" spans="1:17" x14ac:dyDescent="0.2">
      <c r="A42" s="75"/>
      <c r="B42" s="41">
        <f>0.5*((101^2+0.004567*('Conveying system input data'!$E$26^1.85)*'Pipe line section data'!F57*('Conveying system input data'!$B$7^-5))^0.5-101)</f>
        <v>6.2694605400759045</v>
      </c>
      <c r="C42" s="41">
        <f>'Conveying system input data'!$B$26*N42*0.8/'Conveying system input data'!$B$8</f>
        <v>1049.821745938749</v>
      </c>
      <c r="D42" s="41">
        <f>'Conveying system input data'!$H$26*'Conveying system input data'!$F$26*L42*N42^2*'Pipe line section data'!F59/(2*'Conveying system input data'!$B$7)</f>
        <v>38.149630719671975</v>
      </c>
      <c r="E42" s="41">
        <f>-'Pipe line section data'!F59*L42*'Conveying system input data'!$B$10</f>
        <v>-29.633242159692308</v>
      </c>
      <c r="F42" s="41">
        <f>-'Pipe line section data'!F59*'Conveying system input data'!$D$19*'Conveying system input data'!$B$10/('pressure drop calculations'!N42*0.8)</f>
        <v>-11.637650069627448</v>
      </c>
      <c r="G42" s="41"/>
      <c r="H42" s="41">
        <f t="shared" si="4"/>
        <v>1052.969944969177</v>
      </c>
      <c r="I42" s="41">
        <v>25</v>
      </c>
      <c r="J42" s="52">
        <f t="shared" si="5"/>
        <v>356562.5292964931</v>
      </c>
      <c r="K42" s="41">
        <f t="shared" si="0"/>
        <v>355509.55935152393</v>
      </c>
      <c r="L42" s="52">
        <f t="shared" si="6"/>
        <v>4.0276238069578403</v>
      </c>
      <c r="M42" s="41">
        <f t="shared" si="1"/>
        <v>4.0157297730369557</v>
      </c>
      <c r="N42" s="50">
        <f t="shared" si="7"/>
        <v>20.870866801110832</v>
      </c>
      <c r="O42" s="41">
        <f t="shared" si="2"/>
        <v>20.932683410225678</v>
      </c>
      <c r="P42" s="43">
        <f>N42*L42*'pressure drop calculations'!$B$7/[1]Mixtures!$D$3</f>
        <v>28723068.072748013</v>
      </c>
      <c r="Q42" s="37"/>
    </row>
    <row r="43" spans="1:17" x14ac:dyDescent="0.2">
      <c r="A43" s="75">
        <v>12</v>
      </c>
      <c r="B43" s="41">
        <f>0.5*((101^2+0.004567*('Conveying system input data'!$E$26^1.85)*'Pipe line section data'!F58*('Conveying system input data'!$B$7^-5))^0.5-101)</f>
        <v>1.0807308302319996</v>
      </c>
      <c r="C43" s="41">
        <f>'Conveying system input data'!$B$26*N43*0.8/'Conveying system input data'!$B$8</f>
        <v>1052.931172160831</v>
      </c>
      <c r="D43" s="41">
        <f>'Conveying system input data'!$H$26*'Conveying system input data'!$F$26*L43*N43^2*'Pipe line section data'!F60/(2*'Conveying system input data'!$B$7)</f>
        <v>621.99722595278547</v>
      </c>
      <c r="E43" s="41"/>
      <c r="F43" s="41"/>
      <c r="G43" s="41"/>
      <c r="H43" s="41">
        <f t="shared" si="4"/>
        <v>1676.0091289438483</v>
      </c>
      <c r="I43" s="41">
        <v>25</v>
      </c>
      <c r="J43" s="52">
        <f t="shared" si="5"/>
        <v>355509.55935152393</v>
      </c>
      <c r="K43" s="41">
        <f t="shared" si="0"/>
        <v>353833.55022258009</v>
      </c>
      <c r="L43" s="52">
        <f t="shared" si="6"/>
        <v>4.0157297730369557</v>
      </c>
      <c r="M43" s="41">
        <f t="shared" si="1"/>
        <v>3.9967980746284559</v>
      </c>
      <c r="N43" s="50">
        <f t="shared" si="7"/>
        <v>20.932683410225678</v>
      </c>
      <c r="O43" s="41">
        <f t="shared" si="2"/>
        <v>21.031835591998046</v>
      </c>
      <c r="P43" s="43">
        <f>N43*L43*'pressure drop calculations'!$B$7/[1]Mixtures!$D$3</f>
        <v>28723068.072748013</v>
      </c>
      <c r="Q43" s="37"/>
    </row>
    <row r="44" spans="1:17" x14ac:dyDescent="0.2">
      <c r="A44" s="75">
        <v>13</v>
      </c>
      <c r="B44" s="41">
        <f>0.5*((101^2+0.004567*('Conveying system input data'!$E$26^1.85)*'Pipe line section data'!F59*('Conveying system input data'!$B$7^-5))^0.5-101)</f>
        <v>0.40796275994372166</v>
      </c>
      <c r="C44" s="41">
        <f>'Conveying system input data'!$B$26*N44*0.8/'Conveying system input data'!$B$8</f>
        <v>1057.9186083595214</v>
      </c>
      <c r="D44" s="41">
        <f>'Conveying system input data'!$H$26*'Conveying system input data'!$F$26*L44*N44^2*'Pipe line section data'!F61/(2*'Conveying system input data'!$B$7)</f>
        <v>102.51697019743963</v>
      </c>
      <c r="E44" s="41"/>
      <c r="F44" s="41"/>
      <c r="G44" s="41"/>
      <c r="H44" s="41">
        <f t="shared" si="4"/>
        <v>1160.8435413169047</v>
      </c>
      <c r="I44" s="41">
        <v>25</v>
      </c>
      <c r="J44" s="52">
        <f t="shared" si="5"/>
        <v>353833.55022258009</v>
      </c>
      <c r="K44" s="41">
        <f t="shared" si="0"/>
        <v>352672.70668126317</v>
      </c>
      <c r="L44" s="52">
        <f t="shared" si="6"/>
        <v>3.9967980746284559</v>
      </c>
      <c r="M44" s="41">
        <f t="shared" si="1"/>
        <v>3.983685532790743</v>
      </c>
      <c r="N44" s="50">
        <f t="shared" si="7"/>
        <v>21.031835591998046</v>
      </c>
      <c r="O44" s="41">
        <f t="shared" si="2"/>
        <v>21.101063150713198</v>
      </c>
      <c r="P44" s="43">
        <f>N44*L44*'pressure drop calculations'!$B$7/[1]Mixtures!$D$3</f>
        <v>28723068.072748013</v>
      </c>
      <c r="Q44" s="37"/>
    </row>
    <row r="45" spans="1:17" x14ac:dyDescent="0.2">
      <c r="A45" s="75"/>
      <c r="B45" s="41">
        <f>0.5*((101^2+0.004567*('Conveying system input data'!$E$26^1.85)*'Pipe line section data'!F60*('Conveying system input data'!$B$7^-5))^0.5-101)</f>
        <v>6.2694605400759045</v>
      </c>
      <c r="C45" s="41">
        <f>'Conveying system input data'!$B$26*N45*0.8/'Conveying system input data'!$B$8</f>
        <v>1061.4008114347453</v>
      </c>
      <c r="D45" s="41">
        <f>'Conveying system input data'!$H$26*'Conveying system input data'!$F$26*L45*N45^2*'Pipe line section data'!F62/(2*'Conveying system input data'!$B$7)</f>
        <v>102.85441100438197</v>
      </c>
      <c r="E45" s="41"/>
      <c r="F45" s="41"/>
      <c r="G45" s="41"/>
      <c r="H45" s="41">
        <f t="shared" si="4"/>
        <v>1170.5246829792031</v>
      </c>
      <c r="I45" s="41">
        <v>25</v>
      </c>
      <c r="J45" s="52">
        <f t="shared" si="5"/>
        <v>352672.70668126317</v>
      </c>
      <c r="K45" s="41">
        <f t="shared" si="0"/>
        <v>351502.18199828395</v>
      </c>
      <c r="L45" s="52">
        <f t="shared" si="6"/>
        <v>3.983685532790743</v>
      </c>
      <c r="M45" s="41">
        <f t="shared" si="1"/>
        <v>3.9704636356690775</v>
      </c>
      <c r="N45" s="50">
        <f t="shared" si="7"/>
        <v>21.101063150713198</v>
      </c>
      <c r="O45" s="41">
        <f t="shared" si="2"/>
        <v>21.171331036717771</v>
      </c>
      <c r="P45" s="43">
        <f>N45*L45*'pressure drop calculations'!$B$7/[1]Mixtures!$D$3</f>
        <v>28723068.072748013</v>
      </c>
      <c r="Q45" s="37"/>
    </row>
    <row r="46" spans="1:17" x14ac:dyDescent="0.2">
      <c r="A46" s="75"/>
      <c r="B46" s="41">
        <f>0.5*((101^2+0.004567*('Conveying system input data'!$E$26^1.85)*'Pipe line section data'!F61*('Conveying system input data'!$B$7^-5))^0.5-101)</f>
        <v>1.0807308302319996</v>
      </c>
      <c r="C46" s="41">
        <f>'Conveying system input data'!$B$26*N46*0.8/'Conveying system input data'!$B$8</f>
        <v>1064.9353438272774</v>
      </c>
      <c r="D46" s="41">
        <f>'Conveying system input data'!$H$26*'Conveying system input data'!$F$26*L46*N46^2*'Pipe line section data'!F63/(2*'Conveying system input data'!$B$7)</f>
        <v>103.19692275252955</v>
      </c>
      <c r="E46" s="41"/>
      <c r="F46" s="41"/>
      <c r="G46" s="41"/>
      <c r="H46" s="41">
        <f t="shared" si="4"/>
        <v>1169.212997410039</v>
      </c>
      <c r="I46" s="41">
        <v>25</v>
      </c>
      <c r="J46" s="52">
        <f t="shared" si="5"/>
        <v>351502.18199828395</v>
      </c>
      <c r="K46" s="41">
        <f t="shared" si="0"/>
        <v>350332.96900087391</v>
      </c>
      <c r="L46" s="52">
        <f t="shared" si="6"/>
        <v>3.9704636356690775</v>
      </c>
      <c r="M46" s="41">
        <f t="shared" si="1"/>
        <v>3.957256554955733</v>
      </c>
      <c r="N46" s="50">
        <f t="shared" si="7"/>
        <v>21.171331036717771</v>
      </c>
      <c r="O46" s="41">
        <f t="shared" si="2"/>
        <v>21.241988946794564</v>
      </c>
      <c r="P46" s="43">
        <f>N46*L46*'pressure drop calculations'!$B$7/[1]Mixtures!$D$3</f>
        <v>28723068.072748013</v>
      </c>
      <c r="Q46" s="37"/>
    </row>
    <row r="47" spans="1:17" x14ac:dyDescent="0.2">
      <c r="A47" s="75"/>
      <c r="B47" s="41">
        <f>0.5*((101^2+0.004567*('Conveying system input data'!$E$26^1.85)*'Pipe line section data'!F62*('Conveying system input data'!$B$7^-5))^0.5-101)</f>
        <v>1.0807308302319996</v>
      </c>
      <c r="C47" s="41">
        <f>'Conveying system input data'!$B$26*N47*0.8/'Conveying system input data'!$B$8</f>
        <v>1068.4894947510545</v>
      </c>
      <c r="D47" s="41">
        <f>'Conveying system input data'!$H$26*'Conveying system input data'!$F$26*L47*N47^2*'Pipe line section data'!F64/(2*'Conveying system input data'!$B$7)</f>
        <v>103.54133562271726</v>
      </c>
      <c r="E47" s="41"/>
      <c r="F47" s="41"/>
      <c r="G47" s="41"/>
      <c r="H47" s="41">
        <f t="shared" si="4"/>
        <v>1173.1115612040037</v>
      </c>
      <c r="I47" s="41">
        <v>25</v>
      </c>
      <c r="J47" s="52">
        <f t="shared" si="5"/>
        <v>350332.96900087391</v>
      </c>
      <c r="K47" s="41">
        <f t="shared" si="0"/>
        <v>349159.8574396699</v>
      </c>
      <c r="L47" s="52">
        <f t="shared" si="6"/>
        <v>3.957256554955733</v>
      </c>
      <c r="M47" s="41">
        <f t="shared" si="1"/>
        <v>3.9440054372304769</v>
      </c>
      <c r="N47" s="50">
        <f t="shared" si="7"/>
        <v>21.241988946794564</v>
      </c>
      <c r="O47" s="41">
        <f t="shared" si="2"/>
        <v>21.313358041166357</v>
      </c>
      <c r="P47" s="43">
        <f>N47*L47*'pressure drop calculations'!$B$7/[1]Mixtures!$D$3</f>
        <v>28723068.072748013</v>
      </c>
      <c r="Q47" s="37"/>
    </row>
    <row r="48" spans="1:17" x14ac:dyDescent="0.2">
      <c r="A48" s="75"/>
      <c r="B48" s="41">
        <f>0.5*((101^2+0.004567*('Conveying system input data'!$E$26^1.85)*'Pipe line section data'!F63*('Conveying system input data'!$B$7^-5))^0.5-101)</f>
        <v>1.0807308302319996</v>
      </c>
      <c r="C48" s="41">
        <f>'Conveying system input data'!$B$26*N48*0.8/'Conveying system input data'!$B$8</f>
        <v>1072.0794188291227</v>
      </c>
      <c r="D48" s="41">
        <f>'Conveying system input data'!$H$26*'Conveying system input data'!$F$26*L48*N48^2*'Pipe line section data'!F65/(2*'Conveying system input data'!$B$7)</f>
        <v>103.8892150690322</v>
      </c>
      <c r="E48" s="41"/>
      <c r="F48" s="41"/>
      <c r="G48" s="41"/>
      <c r="H48" s="41">
        <f t="shared" si="4"/>
        <v>1177.0493647283868</v>
      </c>
      <c r="I48" s="41">
        <v>25</v>
      </c>
      <c r="J48" s="52">
        <f t="shared" si="5"/>
        <v>349159.8574396699</v>
      </c>
      <c r="K48" s="41">
        <f t="shared" si="0"/>
        <v>347982.80807494151</v>
      </c>
      <c r="L48" s="52">
        <f t="shared" si="6"/>
        <v>3.9440054372304769</v>
      </c>
      <c r="M48" s="41">
        <f t="shared" si="1"/>
        <v>3.9307098392530393</v>
      </c>
      <c r="N48" s="50">
        <f t="shared" si="7"/>
        <v>21.313358041166357</v>
      </c>
      <c r="O48" s="41">
        <f t="shared" si="2"/>
        <v>21.385450322625214</v>
      </c>
      <c r="P48" s="43">
        <f>N48*L48*'pressure drop calculations'!$B$7/[1]Mixtures!$D$3</f>
        <v>28723068.072748013</v>
      </c>
      <c r="Q48" s="37"/>
    </row>
    <row r="49" spans="1:17" x14ac:dyDescent="0.2">
      <c r="A49" s="75">
        <v>14</v>
      </c>
      <c r="B49" s="41">
        <f>0.5*((101^2+0.004567*('Conveying system input data'!$E$26^1.85)*'Pipe line section data'!F64*('Conveying system input data'!$B$7^-5))^0.5-101)</f>
        <v>1.0807308302319996</v>
      </c>
      <c r="C49" s="41">
        <f>'Conveying system input data'!$B$26*N49*0.8/'Conveying system input data'!$B$8</f>
        <v>1075.7057198117836</v>
      </c>
      <c r="D49" s="41">
        <f>'Conveying system input data'!$H$26*'Conveying system input data'!$F$26*L49*N49^2*'Pipe line section data'!F66/(2*'Conveying system input data'!$B$7)</f>
        <v>635.45081706658175</v>
      </c>
      <c r="E49" s="41"/>
      <c r="F49" s="41"/>
      <c r="G49" s="41"/>
      <c r="H49" s="41">
        <f t="shared" si="4"/>
        <v>1712.2372677085973</v>
      </c>
      <c r="I49" s="41">
        <v>25</v>
      </c>
      <c r="J49" s="52">
        <f t="shared" si="5"/>
        <v>347982.80807494151</v>
      </c>
      <c r="K49" s="41">
        <f t="shared" si="0"/>
        <v>346270.57080723293</v>
      </c>
      <c r="L49" s="52">
        <f t="shared" si="6"/>
        <v>3.9307098392530393</v>
      </c>
      <c r="M49" s="41">
        <f t="shared" si="1"/>
        <v>3.9113689186123031</v>
      </c>
      <c r="N49" s="50">
        <f t="shared" si="7"/>
        <v>21.385450322625214</v>
      </c>
      <c r="O49" s="41">
        <f t="shared" si="2"/>
        <v>21.491197007778872</v>
      </c>
      <c r="P49" s="43">
        <f>N49*L49*'pressure drop calculations'!$B$7/[1]Mixtures!$D$3</f>
        <v>28723068.072748013</v>
      </c>
      <c r="Q49" s="37"/>
    </row>
    <row r="50" spans="1:17" x14ac:dyDescent="0.2">
      <c r="A50" s="75">
        <v>15</v>
      </c>
      <c r="B50" s="41">
        <f>0.5*((101^2+0.004567*('Conveying system input data'!$E$26^1.85)*'Pipe line section data'!F65*('Conveying system input data'!$B$7^-5))^0.5-101)</f>
        <v>1.0807308302319996</v>
      </c>
      <c r="C50" s="41">
        <f>'Conveying system input data'!$B$26*N50*0.8/'Conveying system input data'!$B$8</f>
        <v>1081.0248649480718</v>
      </c>
      <c r="D50" s="41">
        <f>'Conveying system input data'!$H$26*'Conveying system input data'!$F$26*L50*N50^2*'Pipe line section data'!F67/(2*'Conveying system input data'!$B$7)</f>
        <v>104.75606817657051</v>
      </c>
      <c r="E50" s="41"/>
      <c r="F50" s="41"/>
      <c r="G50" s="41"/>
      <c r="H50" s="41">
        <f t="shared" si="4"/>
        <v>1186.8616639548743</v>
      </c>
      <c r="I50" s="41">
        <v>25</v>
      </c>
      <c r="J50" s="52">
        <f t="shared" si="5"/>
        <v>346270.57080723293</v>
      </c>
      <c r="K50" s="41">
        <f t="shared" si="0"/>
        <v>345083.70914327807</v>
      </c>
      <c r="L50" s="52">
        <f t="shared" si="6"/>
        <v>3.9113689186123031</v>
      </c>
      <c r="M50" s="41">
        <f t="shared" si="1"/>
        <v>3.8979624838342524</v>
      </c>
      <c r="N50" s="50">
        <f t="shared" si="7"/>
        <v>21.491197007778872</v>
      </c>
      <c r="O50" s="41">
        <f t="shared" si="2"/>
        <v>21.565112632206233</v>
      </c>
      <c r="P50" s="43">
        <f>N50*L50*'pressure drop calculations'!$B$7/[1]Mixtures!$D$3</f>
        <v>28723068.072748013</v>
      </c>
      <c r="Q50" s="37"/>
    </row>
    <row r="51" spans="1:17" x14ac:dyDescent="0.2">
      <c r="A51" s="75"/>
      <c r="B51" s="41">
        <f>0.5*((101^2+0.004567*('Conveying system input data'!$E$26^1.85)*'Pipe line section data'!F66*('Conveying system input data'!$B$7^-5))^0.5-101)</f>
        <v>6.2694605400759045</v>
      </c>
      <c r="C51" s="41">
        <f>'Conveying system input data'!$B$26*N51*0.8/'Conveying system input data'!$B$8</f>
        <v>1084.7428815799615</v>
      </c>
      <c r="D51" s="41">
        <f>'Conveying system input data'!$H$26*'Conveying system input data'!$F$26*L51*N51^2*'Pipe line section data'!F68/(2*'Conveying system input data'!$B$7)</f>
        <v>105.11636035522505</v>
      </c>
      <c r="E51" s="41"/>
      <c r="F51" s="41"/>
      <c r="G51" s="41"/>
      <c r="H51" s="41">
        <f t="shared" si="4"/>
        <v>1196.1287024752623</v>
      </c>
      <c r="I51" s="41">
        <v>25</v>
      </c>
      <c r="J51" s="52">
        <f t="shared" si="5"/>
        <v>345083.70914327807</v>
      </c>
      <c r="K51" s="41">
        <f t="shared" si="0"/>
        <v>343887.58044080279</v>
      </c>
      <c r="L51" s="52">
        <f t="shared" si="6"/>
        <v>3.8979624838342524</v>
      </c>
      <c r="M51" s="41">
        <f t="shared" si="1"/>
        <v>3.8844513713576272</v>
      </c>
      <c r="N51" s="50">
        <f t="shared" si="7"/>
        <v>21.565112632206233</v>
      </c>
      <c r="O51" s="41">
        <f t="shared" si="2"/>
        <v>21.640121593444171</v>
      </c>
      <c r="P51" s="43">
        <f>N51*L51*'pressure drop calculations'!$B$7/[1]Mixtures!$D$3</f>
        <v>28723068.072748013</v>
      </c>
      <c r="Q51" s="37"/>
    </row>
    <row r="52" spans="1:17" x14ac:dyDescent="0.2">
      <c r="A52" s="75"/>
      <c r="B52" s="41">
        <f>0.5*((101^2+0.004567*('Conveying system input data'!$E$26^1.85)*'Pipe line section data'!F67*('Conveying system input data'!$B$7^-5))^0.5-101)</f>
        <v>1.0807308302319996</v>
      </c>
      <c r="C52" s="41">
        <f>'Conveying system input data'!$B$26*N52*0.8/'Conveying system input data'!$B$8</f>
        <v>1088.5158939516216</v>
      </c>
      <c r="D52" s="41">
        <f>'Conveying system input data'!$H$26*'Conveying system input data'!$F$26*L52*N52^2*'Pipe line section data'!F69/(2*'Conveying system input data'!$B$7)</f>
        <v>105.48198186315925</v>
      </c>
      <c r="E52" s="41"/>
      <c r="F52" s="41"/>
      <c r="G52" s="41"/>
      <c r="H52" s="41">
        <f t="shared" si="4"/>
        <v>1195.0786066450128</v>
      </c>
      <c r="I52" s="41">
        <v>25</v>
      </c>
      <c r="J52" s="52">
        <f t="shared" si="5"/>
        <v>343887.58044080279</v>
      </c>
      <c r="K52" s="41">
        <f t="shared" si="0"/>
        <v>342692.5018341578</v>
      </c>
      <c r="L52" s="52">
        <f t="shared" si="6"/>
        <v>3.8844513713576272</v>
      </c>
      <c r="M52" s="41">
        <f t="shared" si="1"/>
        <v>3.8709521204497821</v>
      </c>
      <c r="N52" s="50">
        <f t="shared" si="7"/>
        <v>21.640121593444171</v>
      </c>
      <c r="O52" s="41">
        <f t="shared" si="2"/>
        <v>21.715587634349951</v>
      </c>
      <c r="P52" s="43">
        <f>N52*L52*'pressure drop calculations'!$B$7/[1]Mixtures!$D$3</f>
        <v>28723068.072748013</v>
      </c>
      <c r="Q52" s="37"/>
    </row>
    <row r="53" spans="1:17" x14ac:dyDescent="0.2">
      <c r="A53" s="75"/>
      <c r="B53" s="41">
        <f>0.5*((101^2+0.004567*('Conveying system input data'!$E$26^1.85)*'Pipe line section data'!F68*('Conveying system input data'!$B$7^-5))^0.5-101)</f>
        <v>1.0807308302319996</v>
      </c>
      <c r="C53" s="41">
        <f>'Conveying system input data'!$B$26*N53*0.8/'Conveying system input data'!$B$8</f>
        <v>1092.3118978060745</v>
      </c>
      <c r="D53" s="41">
        <f>'Conveying system input data'!$H$26*'Conveying system input data'!$F$26*L53*N53^2*'Pipe line section data'!F70/(2*'Conveying system input data'!$B$7)</f>
        <v>52.92491567349326</v>
      </c>
      <c r="E53" s="41"/>
      <c r="F53" s="41"/>
      <c r="G53" s="41"/>
      <c r="H53" s="41">
        <f t="shared" si="4"/>
        <v>1146.3175443097996</v>
      </c>
      <c r="I53" s="41">
        <v>25</v>
      </c>
      <c r="J53" s="52">
        <f t="shared" si="5"/>
        <v>342692.5018341578</v>
      </c>
      <c r="K53" s="41">
        <f t="shared" si="0"/>
        <v>341546.18428984802</v>
      </c>
      <c r="L53" s="52">
        <f t="shared" si="6"/>
        <v>3.8709521204497821</v>
      </c>
      <c r="M53" s="41">
        <f t="shared" si="1"/>
        <v>3.8580036599345817</v>
      </c>
      <c r="N53" s="50">
        <f t="shared" si="7"/>
        <v>21.715587634349951</v>
      </c>
      <c r="O53" s="41">
        <f t="shared" si="2"/>
        <v>21.78847077647028</v>
      </c>
      <c r="P53" s="43">
        <f>N53*L53*'pressure drop calculations'!$B$7/[1]Mixtures!$D$3</f>
        <v>28723068.072748013</v>
      </c>
      <c r="Q53" s="37"/>
    </row>
    <row r="54" spans="1:17" x14ac:dyDescent="0.2">
      <c r="A54" s="85" t="s">
        <v>52</v>
      </c>
      <c r="B54" s="53"/>
      <c r="C54" s="53"/>
      <c r="D54" s="53"/>
      <c r="E54" s="53"/>
      <c r="F54" s="53"/>
      <c r="G54" s="53"/>
      <c r="H54" s="54">
        <f>SUM(H4:H53)</f>
        <v>58453.815710151961</v>
      </c>
      <c r="I54" s="53"/>
      <c r="J54" s="53"/>
      <c r="K54" s="53">
        <f>J4-K53</f>
        <v>58453.815710151976</v>
      </c>
      <c r="L54" s="53"/>
      <c r="M54" s="53"/>
      <c r="N54" s="53"/>
      <c r="O54" s="53"/>
      <c r="P54" s="54" t="s">
        <v>80</v>
      </c>
      <c r="Q54" s="55" t="s">
        <v>81</v>
      </c>
    </row>
  </sheetData>
  <mergeCells count="2">
    <mergeCell ref="A2:A3"/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Conveying system input data</vt:lpstr>
      <vt:lpstr>Pipe line section data</vt:lpstr>
      <vt:lpstr>pressure drop calculations</vt:lpstr>
      <vt:lpstr>Sheet6</vt:lpstr>
      <vt:lpstr>Sheet7</vt:lpstr>
      <vt:lpstr>Sheet8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2023-03-11T08:04:11Z</dcterms:created>
  <dcterms:modified xsi:type="dcterms:W3CDTF">2023-05-14T12:58:05Z</dcterms:modified>
</cp:coreProperties>
</file>