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hesis\Annex Materials\"/>
    </mc:Choice>
  </mc:AlternateContent>
  <xr:revisionPtr revIDLastSave="0" documentId="13_ncr:1_{11F6D0CF-BFE0-47DF-9A15-CD3089CC1D13}" xr6:coauthVersionLast="47" xr6:coauthVersionMax="47" xr10:uidLastSave="{00000000-0000-0000-0000-000000000000}"/>
  <bookViews>
    <workbookView xWindow="-120" yWindow="-120" windowWidth="20730" windowHeight="11040" xr2:uid="{720121BD-FF33-4D27-871C-D8071D98F209}"/>
  </bookViews>
  <sheets>
    <sheet name="Estimatio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9" i="1"/>
  <c r="H76" i="1"/>
  <c r="H77" i="1"/>
  <c r="H78" i="1"/>
  <c r="H79" i="1"/>
  <c r="H80" i="1"/>
  <c r="H81" i="1" s="1"/>
  <c r="H82" i="1" s="1"/>
  <c r="H83" i="1" s="1"/>
  <c r="H84" i="1" s="1"/>
  <c r="H85" i="1" s="1"/>
  <c r="H86" i="1" s="1"/>
  <c r="H87" i="1" s="1"/>
  <c r="H88" i="1" s="1"/>
  <c r="H89" i="1" s="1"/>
  <c r="H75" i="1"/>
  <c r="A70" i="1" l="1"/>
  <c r="A43" i="1"/>
  <c r="A44" i="1" s="1"/>
  <c r="A45" i="1" s="1"/>
  <c r="D40" i="1"/>
  <c r="C40" i="1"/>
  <c r="B40" i="1"/>
  <c r="A40" i="1"/>
  <c r="C32" i="1"/>
  <c r="C5" i="1"/>
  <c r="C4" i="1"/>
  <c r="C42" i="1" l="1"/>
  <c r="C6" i="1"/>
  <c r="C7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41" i="1"/>
  <c r="C44" i="1"/>
  <c r="D42" i="1"/>
  <c r="D43" i="1"/>
  <c r="B41" i="1"/>
  <c r="D63" i="1"/>
  <c r="D45" i="1"/>
  <c r="A46" i="1"/>
  <c r="B46" i="1" s="1"/>
  <c r="D41" i="1"/>
  <c r="A71" i="1"/>
  <c r="B42" i="1"/>
  <c r="B44" i="1"/>
  <c r="D44" i="1"/>
  <c r="B63" i="1"/>
  <c r="B43" i="1"/>
  <c r="B45" i="1"/>
  <c r="C63" i="1"/>
  <c r="C43" i="1"/>
  <c r="C45" i="1"/>
  <c r="B89" i="1" l="1"/>
  <c r="B71" i="1"/>
  <c r="D71" i="1" s="1"/>
  <c r="E71" i="1" s="1"/>
  <c r="B69" i="1"/>
  <c r="D46" i="1"/>
  <c r="A47" i="1"/>
  <c r="C46" i="1"/>
  <c r="B70" i="1"/>
  <c r="A72" i="1"/>
  <c r="B72" i="1" l="1"/>
  <c r="D72" i="1" s="1"/>
  <c r="E72" i="1" s="1"/>
  <c r="F71" i="1"/>
  <c r="D69" i="1"/>
  <c r="E69" i="1" s="1"/>
  <c r="D70" i="1"/>
  <c r="E70" i="1" s="1"/>
  <c r="A48" i="1"/>
  <c r="D47" i="1"/>
  <c r="B47" i="1"/>
  <c r="C47" i="1"/>
  <c r="A73" i="1"/>
  <c r="I71" i="1" l="1"/>
  <c r="G71" i="1"/>
  <c r="F70" i="1"/>
  <c r="F72" i="1"/>
  <c r="F69" i="1"/>
  <c r="A49" i="1"/>
  <c r="D48" i="1"/>
  <c r="C48" i="1"/>
  <c r="B48" i="1"/>
  <c r="A74" i="1"/>
  <c r="B73" i="1"/>
  <c r="D73" i="1" s="1"/>
  <c r="E73" i="1" s="1"/>
  <c r="I69" i="1" l="1"/>
  <c r="G69" i="1"/>
  <c r="I72" i="1"/>
  <c r="G72" i="1"/>
  <c r="I70" i="1"/>
  <c r="G70" i="1"/>
  <c r="F73" i="1"/>
  <c r="B74" i="1"/>
  <c r="D74" i="1" s="1"/>
  <c r="E74" i="1" s="1"/>
  <c r="A75" i="1"/>
  <c r="D49" i="1"/>
  <c r="A50" i="1"/>
  <c r="B49" i="1"/>
  <c r="C49" i="1"/>
  <c r="I73" i="1" l="1"/>
  <c r="G73" i="1"/>
  <c r="F74" i="1"/>
  <c r="B75" i="1"/>
  <c r="D75" i="1" s="1"/>
  <c r="E75" i="1" s="1"/>
  <c r="D50" i="1"/>
  <c r="A51" i="1"/>
  <c r="C50" i="1"/>
  <c r="B50" i="1"/>
  <c r="A76" i="1"/>
  <c r="I74" i="1" l="1"/>
  <c r="G74" i="1"/>
  <c r="F75" i="1"/>
  <c r="B76" i="1"/>
  <c r="D76" i="1" s="1"/>
  <c r="E76" i="1" s="1"/>
  <c r="A52" i="1"/>
  <c r="D51" i="1"/>
  <c r="B51" i="1"/>
  <c r="C51" i="1"/>
  <c r="A77" i="1"/>
  <c r="I75" i="1" l="1"/>
  <c r="G75" i="1"/>
  <c r="B77" i="1"/>
  <c r="D77" i="1" s="1"/>
  <c r="E77" i="1" s="1"/>
  <c r="F76" i="1"/>
  <c r="A78" i="1"/>
  <c r="C52" i="1"/>
  <c r="A53" i="1"/>
  <c r="D52" i="1"/>
  <c r="B52" i="1"/>
  <c r="I76" i="1" l="1"/>
  <c r="G76" i="1"/>
  <c r="F77" i="1"/>
  <c r="B78" i="1"/>
  <c r="D78" i="1" s="1"/>
  <c r="E78" i="1" s="1"/>
  <c r="D53" i="1"/>
  <c r="A54" i="1"/>
  <c r="B53" i="1"/>
  <c r="C53" i="1"/>
  <c r="A79" i="1"/>
  <c r="I77" i="1" l="1"/>
  <c r="G77" i="1"/>
  <c r="F78" i="1"/>
  <c r="B79" i="1"/>
  <c r="D79" i="1" s="1"/>
  <c r="E79" i="1" s="1"/>
  <c r="D54" i="1"/>
  <c r="A55" i="1"/>
  <c r="C54" i="1"/>
  <c r="B54" i="1"/>
  <c r="A80" i="1"/>
  <c r="I78" i="1" l="1"/>
  <c r="G78" i="1"/>
  <c r="B80" i="1"/>
  <c r="D80" i="1" s="1"/>
  <c r="E80" i="1" s="1"/>
  <c r="F79" i="1"/>
  <c r="D55" i="1"/>
  <c r="A56" i="1"/>
  <c r="B55" i="1"/>
  <c r="C55" i="1"/>
  <c r="A81" i="1"/>
  <c r="I79" i="1" l="1"/>
  <c r="G79" i="1"/>
  <c r="F80" i="1"/>
  <c r="A82" i="1"/>
  <c r="B81" i="1"/>
  <c r="C56" i="1"/>
  <c r="A57" i="1"/>
  <c r="D56" i="1"/>
  <c r="B56" i="1"/>
  <c r="I80" i="1" l="1"/>
  <c r="G80" i="1"/>
  <c r="D81" i="1"/>
  <c r="E81" i="1" s="1"/>
  <c r="B82" i="1"/>
  <c r="D82" i="1" s="1"/>
  <c r="E82" i="1" s="1"/>
  <c r="A58" i="1"/>
  <c r="D57" i="1"/>
  <c r="C57" i="1"/>
  <c r="B57" i="1"/>
  <c r="A83" i="1"/>
  <c r="F82" i="1" l="1"/>
  <c r="F81" i="1"/>
  <c r="B83" i="1"/>
  <c r="D83" i="1" s="1"/>
  <c r="E83" i="1" s="1"/>
  <c r="C58" i="1"/>
  <c r="A59" i="1"/>
  <c r="D58" i="1"/>
  <c r="B58" i="1"/>
  <c r="A84" i="1"/>
  <c r="I81" i="1" l="1"/>
  <c r="G81" i="1"/>
  <c r="I82" i="1"/>
  <c r="G82" i="1"/>
  <c r="F83" i="1"/>
  <c r="B84" i="1"/>
  <c r="D84" i="1" s="1"/>
  <c r="E84" i="1" s="1"/>
  <c r="D59" i="1"/>
  <c r="A60" i="1"/>
  <c r="C59" i="1"/>
  <c r="B59" i="1"/>
  <c r="A85" i="1"/>
  <c r="I83" i="1" l="1"/>
  <c r="G83" i="1"/>
  <c r="F84" i="1"/>
  <c r="B85" i="1"/>
  <c r="D85" i="1" s="1"/>
  <c r="E85" i="1" s="1"/>
  <c r="D60" i="1"/>
  <c r="A61" i="1"/>
  <c r="C60" i="1"/>
  <c r="B60" i="1"/>
  <c r="A86" i="1"/>
  <c r="I84" i="1" l="1"/>
  <c r="G84" i="1"/>
  <c r="B86" i="1"/>
  <c r="D86" i="1" s="1"/>
  <c r="E86" i="1" s="1"/>
  <c r="F85" i="1"/>
  <c r="D61" i="1"/>
  <c r="A62" i="1"/>
  <c r="C61" i="1"/>
  <c r="B61" i="1"/>
  <c r="A87" i="1"/>
  <c r="I85" i="1" l="1"/>
  <c r="G85" i="1"/>
  <c r="F86" i="1"/>
  <c r="B87" i="1"/>
  <c r="D87" i="1" s="1"/>
  <c r="E87" i="1" s="1"/>
  <c r="D62" i="1"/>
  <c r="C62" i="1"/>
  <c r="B62" i="1"/>
  <c r="A88" i="1"/>
  <c r="I86" i="1" l="1"/>
  <c r="G86" i="1"/>
  <c r="B88" i="1"/>
  <c r="D88" i="1" s="1"/>
  <c r="E88" i="1" s="1"/>
  <c r="F87" i="1"/>
  <c r="A89" i="1"/>
  <c r="I87" i="1" l="1"/>
  <c r="G87" i="1"/>
  <c r="F88" i="1"/>
  <c r="D89" i="1"/>
  <c r="E89" i="1" s="1"/>
  <c r="I88" i="1" l="1"/>
  <c r="G88" i="1"/>
  <c r="F89" i="1"/>
  <c r="I89" i="1" l="1"/>
  <c r="G89" i="1"/>
  <c r="C20" i="1" l="1"/>
  <c r="C18" i="1" l="1"/>
  <c r="C21" i="1" l="1"/>
  <c r="C19" i="1" l="1"/>
  <c r="C24" i="1" l="1"/>
  <c r="C25" i="1" s="1"/>
  <c r="C28" i="1" s="1"/>
  <c r="O69" i="1" l="1"/>
  <c r="M70" i="1"/>
  <c r="L70" i="1" s="1"/>
  <c r="O77" i="1"/>
  <c r="M80" i="1"/>
  <c r="L80" i="1" s="1"/>
  <c r="K84" i="1"/>
  <c r="J84" i="1" s="1"/>
  <c r="M88" i="1"/>
  <c r="L88" i="1" s="1"/>
  <c r="K73" i="1"/>
  <c r="J73" i="1" s="1"/>
  <c r="O78" i="1"/>
  <c r="K82" i="1"/>
  <c r="J82" i="1" s="1"/>
  <c r="M89" i="1"/>
  <c r="L89" i="1" s="1"/>
  <c r="M73" i="1"/>
  <c r="L73" i="1" s="1"/>
  <c r="M77" i="1"/>
  <c r="L77" i="1" s="1"/>
  <c r="O83" i="1"/>
  <c r="O75" i="1"/>
  <c r="M69" i="1"/>
  <c r="L69" i="1" s="1"/>
  <c r="K78" i="1"/>
  <c r="J78" i="1" s="1"/>
  <c r="K87" i="1"/>
  <c r="J87" i="1" s="1"/>
  <c r="O80" i="1"/>
  <c r="O88" i="1"/>
  <c r="K79" i="1"/>
  <c r="J79" i="1" s="1"/>
  <c r="M84" i="1"/>
  <c r="L84" i="1" s="1"/>
  <c r="K70" i="1"/>
  <c r="J70" i="1" s="1"/>
  <c r="O85" i="1"/>
  <c r="O70" i="1"/>
  <c r="K85" i="1"/>
  <c r="J85" i="1" s="1"/>
  <c r="K71" i="1"/>
  <c r="J71" i="1" s="1"/>
  <c r="M82" i="1"/>
  <c r="L82" i="1" s="1"/>
  <c r="K81" i="1"/>
  <c r="J81" i="1" s="1"/>
  <c r="K72" i="1"/>
  <c r="J72" i="1" s="1"/>
  <c r="K69" i="1"/>
  <c r="J69" i="1" s="1"/>
  <c r="K80" i="1"/>
  <c r="J80" i="1" s="1"/>
  <c r="K88" i="1"/>
  <c r="J88" i="1" s="1"/>
  <c r="M71" i="1"/>
  <c r="L71" i="1" s="1"/>
  <c r="M85" i="1"/>
  <c r="L85" i="1" s="1"/>
  <c r="M78" i="1"/>
  <c r="L78" i="1" s="1"/>
  <c r="O87" i="1"/>
  <c r="K74" i="1"/>
  <c r="J74" i="1" s="1"/>
  <c r="M74" i="1"/>
  <c r="L74" i="1" s="1"/>
  <c r="M83" i="1"/>
  <c r="L83" i="1" s="1"/>
  <c r="M76" i="1"/>
  <c r="L76" i="1" s="1"/>
  <c r="M87" i="1"/>
  <c r="L87" i="1" s="1"/>
  <c r="K76" i="1"/>
  <c r="J76" i="1" s="1"/>
  <c r="M79" i="1"/>
  <c r="L79" i="1" s="1"/>
  <c r="O79" i="1"/>
  <c r="K77" i="1"/>
  <c r="J77" i="1" s="1"/>
  <c r="M75" i="1"/>
  <c r="L75" i="1" s="1"/>
  <c r="K75" i="1"/>
  <c r="J75" i="1" s="1"/>
  <c r="O76" i="1"/>
  <c r="M72" i="1"/>
  <c r="L72" i="1" s="1"/>
  <c r="O74" i="1"/>
  <c r="O73" i="1"/>
  <c r="O71" i="1"/>
  <c r="O72" i="1"/>
  <c r="K89" i="1"/>
  <c r="J89" i="1" s="1"/>
  <c r="O89" i="1"/>
  <c r="K86" i="1"/>
  <c r="J86" i="1" s="1"/>
  <c r="M86" i="1"/>
  <c r="L86" i="1" s="1"/>
  <c r="O86" i="1"/>
  <c r="O84" i="1"/>
  <c r="K83" i="1"/>
  <c r="J83" i="1" s="1"/>
  <c r="M81" i="1"/>
  <c r="L81" i="1" s="1"/>
  <c r="O81" i="1"/>
  <c r="O82" i="1"/>
  <c r="C22" i="1"/>
  <c r="N87" i="1" l="1"/>
  <c r="N70" i="1"/>
  <c r="N82" i="1"/>
  <c r="N71" i="1"/>
  <c r="N84" i="1"/>
  <c r="N73" i="1"/>
  <c r="N88" i="1"/>
  <c r="N77" i="1"/>
  <c r="N78" i="1"/>
  <c r="N72" i="1"/>
  <c r="N86" i="1"/>
  <c r="N74" i="1"/>
  <c r="N80" i="1"/>
  <c r="N76" i="1"/>
  <c r="N89" i="1"/>
  <c r="N85" i="1"/>
  <c r="N81" i="1"/>
  <c r="N75" i="1"/>
  <c r="N83" i="1"/>
  <c r="N79" i="1"/>
  <c r="N69" i="1"/>
  <c r="C35" i="1"/>
  <c r="C30" i="1"/>
  <c r="C33" i="1" l="1"/>
  <c r="C34" i="1" s="1"/>
  <c r="C36" i="1"/>
  <c r="U71" i="1" l="1"/>
  <c r="T71" i="1" s="1"/>
  <c r="S69" i="1"/>
  <c r="R69" i="1" s="1"/>
  <c r="S74" i="1"/>
  <c r="R74" i="1" s="1"/>
  <c r="U77" i="1"/>
  <c r="T77" i="1" s="1"/>
  <c r="Q79" i="1"/>
  <c r="P79" i="1" s="1"/>
  <c r="S82" i="1"/>
  <c r="R82" i="1" s="1"/>
  <c r="U85" i="1"/>
  <c r="T85" i="1" s="1"/>
  <c r="Q87" i="1"/>
  <c r="P87" i="1" s="1"/>
  <c r="S75" i="1"/>
  <c r="R75" i="1" s="1"/>
  <c r="S80" i="1"/>
  <c r="R80" i="1" s="1"/>
  <c r="Q88" i="1"/>
  <c r="P88" i="1" s="1"/>
  <c r="Q75" i="1"/>
  <c r="P75" i="1" s="1"/>
  <c r="U82" i="1"/>
  <c r="T82" i="1" s="1"/>
  <c r="U89" i="1"/>
  <c r="T89" i="1" s="1"/>
  <c r="S73" i="1"/>
  <c r="R73" i="1" s="1"/>
  <c r="U81" i="1"/>
  <c r="T81" i="1" s="1"/>
  <c r="Q89" i="1"/>
  <c r="P89" i="1" s="1"/>
  <c r="S76" i="1"/>
  <c r="R76" i="1" s="1"/>
  <c r="Q78" i="1"/>
  <c r="P78" i="1" s="1"/>
  <c r="S86" i="1"/>
  <c r="R86" i="1" s="1"/>
  <c r="Q76" i="1"/>
  <c r="P76" i="1" s="1"/>
  <c r="Q81" i="1"/>
  <c r="P81" i="1" s="1"/>
  <c r="U70" i="1"/>
  <c r="T70" i="1" s="1"/>
  <c r="S70" i="1"/>
  <c r="R70" i="1" s="1"/>
  <c r="U75" i="1"/>
  <c r="T75" i="1" s="1"/>
  <c r="Q77" i="1"/>
  <c r="P77" i="1" s="1"/>
  <c r="S79" i="1"/>
  <c r="R79" i="1" s="1"/>
  <c r="S81" i="1"/>
  <c r="R81" i="1" s="1"/>
  <c r="U86" i="1"/>
  <c r="T86" i="1" s="1"/>
  <c r="U88" i="1"/>
  <c r="T88" i="1" s="1"/>
  <c r="Q72" i="1"/>
  <c r="P72" i="1" s="1"/>
  <c r="U78" i="1"/>
  <c r="T78" i="1" s="1"/>
  <c r="Q83" i="1"/>
  <c r="P83" i="1" s="1"/>
  <c r="S71" i="1"/>
  <c r="R71" i="1" s="1"/>
  <c r="S78" i="1"/>
  <c r="R78" i="1" s="1"/>
  <c r="Q86" i="1"/>
  <c r="P86" i="1" s="1"/>
  <c r="U76" i="1"/>
  <c r="T76" i="1" s="1"/>
  <c r="U79" i="1"/>
  <c r="T79" i="1" s="1"/>
  <c r="U87" i="1"/>
  <c r="T87" i="1" s="1"/>
  <c r="S72" i="1"/>
  <c r="R72" i="1" s="1"/>
  <c r="S84" i="1"/>
  <c r="R84" i="1" s="1"/>
  <c r="U73" i="1"/>
  <c r="T73" i="1" s="1"/>
  <c r="U80" i="1"/>
  <c r="T80" i="1" s="1"/>
  <c r="S87" i="1"/>
  <c r="R87" i="1" s="1"/>
  <c r="U69" i="1"/>
  <c r="T69" i="1" s="1"/>
  <c r="Q69" i="1"/>
  <c r="P69" i="1" s="1"/>
  <c r="Q74" i="1"/>
  <c r="P74" i="1" s="1"/>
  <c r="S77" i="1"/>
  <c r="R77" i="1" s="1"/>
  <c r="Q80" i="1"/>
  <c r="P80" i="1" s="1"/>
  <c r="U83" i="1"/>
  <c r="T83" i="1" s="1"/>
  <c r="Q85" i="1"/>
  <c r="P85" i="1" s="1"/>
  <c r="S88" i="1"/>
  <c r="R88" i="1" s="1"/>
  <c r="Q71" i="1"/>
  <c r="P71" i="1" s="1"/>
  <c r="S85" i="1"/>
  <c r="R85" i="1" s="1"/>
  <c r="Q70" i="1"/>
  <c r="P70" i="1" s="1"/>
  <c r="U84" i="1"/>
  <c r="T84" i="1" s="1"/>
  <c r="U72" i="1"/>
  <c r="T72" i="1" s="1"/>
  <c r="S83" i="1"/>
  <c r="R83" i="1" s="1"/>
  <c r="U74" i="1"/>
  <c r="T74" i="1" s="1"/>
  <c r="Q82" i="1"/>
  <c r="P82" i="1" s="1"/>
  <c r="S89" i="1"/>
  <c r="R89" i="1" s="1"/>
  <c r="Q73" i="1"/>
  <c r="P73" i="1" s="1"/>
  <c r="Q84" i="1"/>
  <c r="P84" i="1" s="1"/>
</calcChain>
</file>

<file path=xl/sharedStrings.xml><?xml version="1.0" encoding="utf-8"?>
<sst xmlns="http://schemas.openxmlformats.org/spreadsheetml/2006/main" count="86" uniqueCount="77">
  <si>
    <t>Total Methane and Organic Manure Estimation for Kathmandu Valley (2024-2044)</t>
  </si>
  <si>
    <t>Basis of Estimation</t>
  </si>
  <si>
    <t>Sewage Coverage Rate in 2019 =</t>
  </si>
  <si>
    <t>Sewage Coverage Rate in 2030 (SDG Target)=</t>
  </si>
  <si>
    <t>Legend</t>
  </si>
  <si>
    <t>Percentage Sewage Expansion every year =</t>
  </si>
  <si>
    <t>Values Taken from Secondary Sources</t>
  </si>
  <si>
    <t>Sewage Coverage at Start of Study (2024) =</t>
  </si>
  <si>
    <t>Calculated Values</t>
  </si>
  <si>
    <t>Sewage Coverage at End of Study (2044) =</t>
  </si>
  <si>
    <t>Values taken from Mass Balance Calculations</t>
  </si>
  <si>
    <t>Population of Kathmandu District in 2021 =</t>
  </si>
  <si>
    <t>Population Growth Rate =</t>
  </si>
  <si>
    <t>Population of Lalitpur District in 2021 =</t>
  </si>
  <si>
    <t>Population of Bhaktapur District in 2021 =</t>
  </si>
  <si>
    <t xml:space="preserve">Per Capita Water Consumption (Until 2034) = </t>
  </si>
  <si>
    <t>LPCD</t>
  </si>
  <si>
    <t xml:space="preserve">Per Capita Water Consumption (2034-2044) = </t>
  </si>
  <si>
    <t>Water Consumption converted into Wastewater =</t>
  </si>
  <si>
    <t>TSS Percentage of the Sludge Generated =</t>
  </si>
  <si>
    <t xml:space="preserve"> TSS</t>
  </si>
  <si>
    <t xml:space="preserve"> Sludge Per MLD of Waste Water =</t>
  </si>
  <si>
    <t>kg/MLD</t>
  </si>
  <si>
    <t>Specific Gravity of Sludge =</t>
  </si>
  <si>
    <t xml:space="preserve">Volume of Methane per Ton of Sludge </t>
  </si>
  <si>
    <r>
      <t>m</t>
    </r>
    <r>
      <rPr>
        <vertAlign val="superscript"/>
        <sz val="11"/>
        <color theme="1"/>
        <rFont val="Calibri"/>
        <family val="2"/>
      </rPr>
      <t xml:space="preserve">3 </t>
    </r>
    <r>
      <rPr>
        <sz val="11"/>
        <color theme="1"/>
        <rFont val="Calibri"/>
        <family val="2"/>
      </rPr>
      <t>/ TON</t>
    </r>
  </si>
  <si>
    <t>Volume of Methane per MLD of Wastewater =</t>
  </si>
  <si>
    <r>
      <t>m</t>
    </r>
    <r>
      <rPr>
        <vertAlign val="superscript"/>
        <sz val="11"/>
        <color theme="1"/>
        <rFont val="Calibri"/>
        <family val="2"/>
      </rPr>
      <t xml:space="preserve">3 </t>
    </r>
    <r>
      <rPr>
        <sz val="11"/>
        <color theme="1"/>
        <rFont val="Calibri"/>
        <family val="2"/>
      </rPr>
      <t>/ MLD</t>
    </r>
  </si>
  <si>
    <t>Density of Methane at STP =</t>
  </si>
  <si>
    <r>
      <t>kg/m</t>
    </r>
    <r>
      <rPr>
        <vertAlign val="superscript"/>
        <sz val="11"/>
        <color theme="1"/>
        <rFont val="Calibri"/>
        <family val="2"/>
      </rPr>
      <t>3</t>
    </r>
  </si>
  <si>
    <t>Mass of Methane per MLD of Wastewater  =</t>
  </si>
  <si>
    <t>Biosolids( 22% TSS) per Ton of Sludge =</t>
  </si>
  <si>
    <t>kg/ TON</t>
  </si>
  <si>
    <t>Biosolids( 22% TSS) per MLD of Wastewater =</t>
  </si>
  <si>
    <t>Assuming(Total Dissolved Solids in Dewatered Sludge) =</t>
  </si>
  <si>
    <t>10% of TSS</t>
  </si>
  <si>
    <t>TS of Biosolids =</t>
  </si>
  <si>
    <t>TS per MLD of Wastewater</t>
  </si>
  <si>
    <t>Organic Manure (70% TS) per Ton of Sludge =</t>
  </si>
  <si>
    <t>kg/TON</t>
  </si>
  <si>
    <t>Organic Manure (70% TS) per MLD of Wastewater  =</t>
  </si>
  <si>
    <t>Kg/MLD</t>
  </si>
  <si>
    <t>Year</t>
  </si>
  <si>
    <t>Population</t>
  </si>
  <si>
    <t>Kathmandu</t>
  </si>
  <si>
    <t>Lalitpur</t>
  </si>
  <si>
    <t>Bhaktapur</t>
  </si>
  <si>
    <t xml:space="preserve">Year </t>
  </si>
  <si>
    <t xml:space="preserve">Population </t>
  </si>
  <si>
    <t>Sewage Coverage</t>
  </si>
  <si>
    <t>WWG (MLY)</t>
  </si>
  <si>
    <t>WWC(MLY)</t>
  </si>
  <si>
    <t>Wastewater Treatment Capacity (MLD)</t>
  </si>
  <si>
    <t>Wastewater Treated (MLY)</t>
  </si>
  <si>
    <t>WWG(MLD)</t>
  </si>
  <si>
    <t>WWC(MLD)</t>
  </si>
  <si>
    <t>Specific Production of excess sludge (TSS/BOD removed) =</t>
  </si>
  <si>
    <t>kg TSS/ kg BOD</t>
  </si>
  <si>
    <t>Secondary Sludge Production per Unit of Wastewater =</t>
  </si>
  <si>
    <t>Primary Sludge Production per Unit of Wastewater =</t>
  </si>
  <si>
    <t>gTSS/m3</t>
  </si>
  <si>
    <t>g DS / P.E</t>
  </si>
  <si>
    <t xml:space="preserve">Dry Solids per Population Equivalent </t>
  </si>
  <si>
    <t>L/kg VSS</t>
  </si>
  <si>
    <t>Biogas produced per kg of VSS destroyed</t>
  </si>
  <si>
    <t>BIO CNG, 200 bar</t>
  </si>
  <si>
    <t>Based on Treatment, kg/d</t>
  </si>
  <si>
    <t>Based on Treatment Mt/Yr</t>
  </si>
  <si>
    <t>Based on Collection, kg/d</t>
  </si>
  <si>
    <t>Based on Generation, kg/d</t>
  </si>
  <si>
    <t>Based on Collection, Mt/Yr</t>
  </si>
  <si>
    <t>Based on Generation, Mt/Yr</t>
  </si>
  <si>
    <t>Organic Manure (70% TS)</t>
  </si>
  <si>
    <t>Based on Treatment, Mt/Yr</t>
  </si>
  <si>
    <t>Based on Treatment, Mt/d</t>
  </si>
  <si>
    <t>Based on Collection, Mt/d</t>
  </si>
  <si>
    <t>Based on Generation, Mt/d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</si>
</sst>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 tint="4.9989318521683403E-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0" fontId="0" fillId="10" borderId="8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6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11" borderId="8" xfId="0" applyNumberFormat="1" applyFill="1" applyBorder="1" applyAlignment="1">
      <alignment horizontal="center"/>
    </xf>
    <xf numFmtId="10" fontId="0" fillId="8" borderId="8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1" fontId="0" fillId="9" borderId="8" xfId="0" applyNumberFormat="1" applyFill="1" applyBorder="1" applyAlignment="1">
      <alignment horizontal="center"/>
    </xf>
    <xf numFmtId="1" fontId="6" fillId="9" borderId="8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2" fontId="0" fillId="4" borderId="1" xfId="1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5" borderId="8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1" fontId="2" fillId="7" borderId="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7" borderId="8" xfId="0" applyNumberForma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Desktop\Thesis\Excel%20Sheets\Annex%20I%20=%20Mass%20Balance%20of%20WWTP.xlsx" TargetMode="External"/><Relationship Id="rId1" Type="http://schemas.openxmlformats.org/officeDocument/2006/relationships/externalLinkPath" Target="Annex%20I%20=%20Mass%20Balance%20of%20WWT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th Iteration"/>
      <sheetName val="4th Iteration"/>
      <sheetName val="3rd Iteration"/>
      <sheetName val="2nd Iteration"/>
      <sheetName val="1st Iteration"/>
    </sheetNames>
    <sheetDataSet>
      <sheetData sheetId="0">
        <row r="222">
          <cell r="H222">
            <v>134470.70841247321</v>
          </cell>
        </row>
        <row r="248">
          <cell r="H248">
            <v>0.22</v>
          </cell>
        </row>
        <row r="255">
          <cell r="H255">
            <v>4285.465418695072</v>
          </cell>
        </row>
      </sheetData>
      <sheetData sheetId="1">
        <row r="10">
          <cell r="H10">
            <v>32400</v>
          </cell>
        </row>
        <row r="125">
          <cell r="H125">
            <v>0.06</v>
          </cell>
        </row>
        <row r="129">
          <cell r="H129">
            <v>6123.8613048022107</v>
          </cell>
        </row>
        <row r="165">
          <cell r="H165">
            <v>0.05</v>
          </cell>
        </row>
        <row r="169">
          <cell r="H169">
            <v>1623.2495799929495</v>
          </cell>
        </row>
        <row r="199">
          <cell r="H199">
            <v>1862.5542778771685</v>
          </cell>
        </row>
        <row r="212">
          <cell r="H212">
            <v>877.16483376753115</v>
          </cell>
        </row>
        <row r="213">
          <cell r="H213">
            <v>1349.4843596423555</v>
          </cell>
        </row>
        <row r="222">
          <cell r="H222">
            <v>134529.34667989585</v>
          </cell>
        </row>
        <row r="279">
          <cell r="C279">
            <v>32400</v>
          </cell>
        </row>
        <row r="282">
          <cell r="E282">
            <v>7204.5427115320126</v>
          </cell>
        </row>
        <row r="285">
          <cell r="D285">
            <v>7176.3337075150794</v>
          </cell>
        </row>
        <row r="286">
          <cell r="D286">
            <v>656.42277820860022</v>
          </cell>
        </row>
        <row r="288">
          <cell r="D288">
            <v>1367.129654040373</v>
          </cell>
          <cell r="E288">
            <v>1803.6106444366105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32985-496F-4B6F-9698-85B7049FE3ED}">
  <dimension ref="A1:AE90"/>
  <sheetViews>
    <sheetView tabSelected="1" topLeftCell="A65" zoomScale="67" zoomScaleNormal="100" workbookViewId="0">
      <selection activeCell="A65" sqref="A65"/>
    </sheetView>
  </sheetViews>
  <sheetFormatPr defaultRowHeight="15" x14ac:dyDescent="0.25"/>
  <cols>
    <col min="1" max="1" width="28.28515625" style="5" customWidth="1"/>
    <col min="2" max="2" width="39" style="5" customWidth="1"/>
    <col min="3" max="3" width="21.42578125" style="5" customWidth="1"/>
    <col min="4" max="5" width="20" style="5" customWidth="1"/>
    <col min="6" max="7" width="21.42578125" style="5" customWidth="1"/>
    <col min="8" max="8" width="25.140625" style="5" customWidth="1"/>
    <col min="9" max="9" width="21.42578125" style="5" customWidth="1"/>
    <col min="10" max="10" width="27.28515625" style="5" customWidth="1"/>
    <col min="11" max="11" width="28.28515625" style="5" customWidth="1"/>
    <col min="12" max="12" width="27.28515625" style="5" customWidth="1"/>
    <col min="13" max="13" width="28.7109375" style="5" customWidth="1"/>
    <col min="14" max="14" width="28" style="5" customWidth="1"/>
    <col min="15" max="15" width="29.42578125" style="5" customWidth="1"/>
    <col min="16" max="16" width="27.7109375" style="5" customWidth="1"/>
    <col min="17" max="17" width="28.7109375" style="5" bestFit="1" customWidth="1"/>
    <col min="18" max="18" width="27.7109375" style="5" customWidth="1"/>
    <col min="19" max="19" width="28.7109375" style="5" bestFit="1" customWidth="1"/>
    <col min="20" max="20" width="28.42578125" style="5" customWidth="1"/>
    <col min="21" max="21" width="29.42578125" style="5" bestFit="1" customWidth="1"/>
    <col min="22" max="23" width="20.42578125" customWidth="1"/>
    <col min="24" max="24" width="20.28515625" customWidth="1"/>
    <col min="25" max="25" width="21" customWidth="1"/>
    <col min="26" max="26" width="20.85546875" bestFit="1" customWidth="1"/>
    <col min="27" max="27" width="20.28515625" customWidth="1"/>
    <col min="28" max="28" width="20.85546875" customWidth="1"/>
    <col min="29" max="29" width="22.28515625" customWidth="1"/>
    <col min="30" max="30" width="20.140625" customWidth="1"/>
    <col min="31" max="31" width="20.28515625" customWidth="1"/>
    <col min="32" max="32" width="20" customWidth="1"/>
    <col min="33" max="33" width="20.5703125" customWidth="1"/>
    <col min="34" max="35" width="20.42578125" customWidth="1"/>
    <col min="36" max="36" width="18.7109375" customWidth="1"/>
    <col min="37" max="37" width="19" customWidth="1"/>
    <col min="38" max="38" width="18.7109375" customWidth="1"/>
    <col min="39" max="39" width="19.28515625" customWidth="1"/>
  </cols>
  <sheetData>
    <row r="1" spans="1:15" ht="26.25" x14ac:dyDescent="0.4">
      <c r="A1" s="71" t="s">
        <v>0</v>
      </c>
      <c r="B1" s="71"/>
      <c r="C1" s="71"/>
      <c r="D1" s="71"/>
      <c r="E1" s="71"/>
      <c r="F1" s="71"/>
      <c r="G1" s="20"/>
      <c r="H1" s="20"/>
      <c r="I1" s="20"/>
      <c r="J1" s="20"/>
      <c r="K1" s="20"/>
      <c r="L1" s="20"/>
      <c r="M1" s="20"/>
      <c r="N1" s="20"/>
      <c r="O1" s="20"/>
    </row>
    <row r="3" spans="1:15" ht="15.75" thickBot="1" x14ac:dyDescent="0.3">
      <c r="A3" s="5" t="s">
        <v>1</v>
      </c>
    </row>
    <row r="4" spans="1:15" ht="15.75" thickBot="1" x14ac:dyDescent="0.3">
      <c r="A4" s="68" t="s">
        <v>2</v>
      </c>
      <c r="C4" s="21">
        <f>0.7</f>
        <v>0.7</v>
      </c>
    </row>
    <row r="5" spans="1:15" ht="15.75" thickBot="1" x14ac:dyDescent="0.3">
      <c r="A5" s="68" t="s">
        <v>3</v>
      </c>
      <c r="C5" s="21">
        <f>0.9</f>
        <v>0.9</v>
      </c>
      <c r="F5" s="50" t="s">
        <v>4</v>
      </c>
      <c r="G5" s="51"/>
      <c r="H5" s="51"/>
      <c r="I5" s="22"/>
    </row>
    <row r="6" spans="1:15" ht="15.75" thickBot="1" x14ac:dyDescent="0.3">
      <c r="A6" s="68" t="s">
        <v>5</v>
      </c>
      <c r="C6" s="23">
        <f>(C5-C4)/(11)</f>
        <v>1.8181818181818188E-2</v>
      </c>
      <c r="F6" s="24"/>
      <c r="G6" s="7" t="s">
        <v>6</v>
      </c>
      <c r="H6" s="7"/>
      <c r="I6" s="22"/>
    </row>
    <row r="7" spans="1:15" ht="15.75" thickBot="1" x14ac:dyDescent="0.3">
      <c r="A7" s="68" t="s">
        <v>7</v>
      </c>
      <c r="C7" s="23">
        <f>C4+(C6*5)</f>
        <v>0.79090909090909089</v>
      </c>
      <c r="F7" s="25"/>
      <c r="G7" s="7" t="s">
        <v>8</v>
      </c>
      <c r="H7" s="7"/>
      <c r="I7" s="22"/>
    </row>
    <row r="8" spans="1:15" ht="15.75" thickBot="1" x14ac:dyDescent="0.3">
      <c r="A8" s="68" t="s">
        <v>9</v>
      </c>
      <c r="C8" s="23">
        <v>1</v>
      </c>
      <c r="F8" s="26"/>
      <c r="G8" s="7" t="s">
        <v>10</v>
      </c>
      <c r="H8" s="7"/>
      <c r="I8" s="22"/>
    </row>
    <row r="9" spans="1:15" ht="15.75" thickBot="1" x14ac:dyDescent="0.3">
      <c r="A9" s="68" t="s">
        <v>11</v>
      </c>
      <c r="C9" s="27">
        <v>2041587</v>
      </c>
    </row>
    <row r="10" spans="1:15" ht="15.75" thickBot="1" x14ac:dyDescent="0.3">
      <c r="A10" s="68" t="s">
        <v>12</v>
      </c>
      <c r="C10" s="21">
        <v>1.5100000000000001E-2</v>
      </c>
    </row>
    <row r="11" spans="1:15" ht="15.75" thickBot="1" x14ac:dyDescent="0.3">
      <c r="A11" s="68" t="s">
        <v>13</v>
      </c>
      <c r="C11" s="27">
        <v>551667</v>
      </c>
    </row>
    <row r="12" spans="1:15" ht="15.75" thickBot="1" x14ac:dyDescent="0.3">
      <c r="A12" s="68" t="s">
        <v>12</v>
      </c>
      <c r="C12" s="21">
        <v>1.5800000000000002E-2</v>
      </c>
    </row>
    <row r="13" spans="1:15" ht="15.75" thickBot="1" x14ac:dyDescent="0.3">
      <c r="A13" s="68" t="s">
        <v>14</v>
      </c>
      <c r="C13" s="27">
        <v>432132</v>
      </c>
    </row>
    <row r="14" spans="1:15" ht="15.75" thickBot="1" x14ac:dyDescent="0.3">
      <c r="A14" s="68" t="s">
        <v>12</v>
      </c>
      <c r="C14" s="21">
        <v>3.3500000000000002E-2</v>
      </c>
    </row>
    <row r="15" spans="1:15" ht="15.75" thickBot="1" x14ac:dyDescent="0.3">
      <c r="A15" s="68" t="s">
        <v>15</v>
      </c>
      <c r="C15" s="27">
        <v>117</v>
      </c>
      <c r="D15" s="5" t="s">
        <v>16</v>
      </c>
    </row>
    <row r="16" spans="1:15" ht="15.75" thickBot="1" x14ac:dyDescent="0.3">
      <c r="A16" s="68" t="s">
        <v>17</v>
      </c>
      <c r="C16" s="27">
        <v>150</v>
      </c>
      <c r="D16" s="5" t="s">
        <v>16</v>
      </c>
    </row>
    <row r="17" spans="1:21" ht="15.75" thickBot="1" x14ac:dyDescent="0.3">
      <c r="A17" s="68" t="s">
        <v>18</v>
      </c>
      <c r="C17" s="28">
        <v>0.8</v>
      </c>
    </row>
    <row r="18" spans="1:21" ht="15.75" thickBot="1" x14ac:dyDescent="0.3">
      <c r="A18" s="68" t="s">
        <v>19</v>
      </c>
      <c r="C18" s="29">
        <f>((('[1]4th Iteration'!$H$129*'[1]4th Iteration'!$H$125)+('[1]4th Iteration'!$H$169*'[1]4th Iteration'!$H$165))/('[1]4th Iteration'!$H$129+'[1]4th Iteration'!$H$169))</f>
        <v>5.7904703309231295E-2</v>
      </c>
      <c r="D18" s="5" t="s">
        <v>20</v>
      </c>
    </row>
    <row r="19" spans="1:21" s="67" customFormat="1" ht="15.75" thickBot="1" x14ac:dyDescent="0.3">
      <c r="A19" s="69" t="s">
        <v>21</v>
      </c>
      <c r="B19" s="66"/>
      <c r="C19" s="30">
        <f>('[1]4th Iteration'!$H$222/'[1]4th Iteration'!$H$10)*1000</f>
        <v>4152.1403296264152</v>
      </c>
      <c r="D19" s="66" t="s">
        <v>22</v>
      </c>
      <c r="E19" s="66"/>
      <c r="F19" s="66"/>
      <c r="G19" s="70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s="67" customFormat="1" ht="15.75" thickBot="1" x14ac:dyDescent="0.3">
      <c r="A20" s="69" t="s">
        <v>59</v>
      </c>
      <c r="B20" s="66"/>
      <c r="C20" s="30">
        <f>'[1]4th Iteration'!$E$282/('[1]4th Iteration'!$C$279/1000)</f>
        <v>222.36242936827202</v>
      </c>
      <c r="D20" s="66" t="s">
        <v>60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s="67" customFormat="1" ht="15.75" thickBot="1" x14ac:dyDescent="0.3">
      <c r="A21" s="69" t="s">
        <v>58</v>
      </c>
      <c r="B21" s="66"/>
      <c r="C21" s="30">
        <f>'[1]4th Iteration'!$E$288/('[1]4th Iteration'!$C$279/1000)</f>
        <v>55.666995198660821</v>
      </c>
      <c r="D21" s="66" t="s">
        <v>60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s="67" customFormat="1" ht="15.75" thickBot="1" x14ac:dyDescent="0.3">
      <c r="A22" s="69" t="s">
        <v>56</v>
      </c>
      <c r="B22" s="66"/>
      <c r="C22" s="30">
        <f>'[1]4th Iteration'!$E$288/('[1]4th Iteration'!$D$285-'[1]4th Iteration'!$D$286-'[1]4th Iteration'!$D$288)</f>
        <v>0.35002662602702189</v>
      </c>
      <c r="D22" s="66" t="s">
        <v>57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15.75" thickBot="1" x14ac:dyDescent="0.3">
      <c r="A23" s="68" t="s">
        <v>23</v>
      </c>
      <c r="C23" s="31">
        <v>1.123</v>
      </c>
    </row>
    <row r="24" spans="1:21" s="67" customFormat="1" ht="18" thickBot="1" x14ac:dyDescent="0.3">
      <c r="A24" s="69" t="s">
        <v>24</v>
      </c>
      <c r="B24" s="66"/>
      <c r="C24" s="32">
        <f>('[1]4th Iteration'!$H$212/'[1]4th Iteration'!$H$222)*1000</f>
        <v>6.5202489673475474</v>
      </c>
      <c r="D24" s="66" t="s">
        <v>25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s="67" customFormat="1" ht="18" thickBot="1" x14ac:dyDescent="0.3">
      <c r="A25" s="69" t="s">
        <v>26</v>
      </c>
      <c r="B25" s="66"/>
      <c r="C25" s="32">
        <f>(C24*C19)/1000</f>
        <v>27.072988696528739</v>
      </c>
      <c r="D25" s="66" t="s">
        <v>27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s="67" customFormat="1" ht="15.75" thickBot="1" x14ac:dyDescent="0.3">
      <c r="A26" s="69" t="s">
        <v>64</v>
      </c>
      <c r="B26" s="66"/>
      <c r="C26" s="32">
        <f>('[1]4th Iteration'!$H$213/'[1]4th Iteration'!$H$199)*1000</f>
        <v>724.53424615384608</v>
      </c>
      <c r="D26" s="66" t="s">
        <v>63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ht="18" thickBot="1" x14ac:dyDescent="0.3">
      <c r="A27" s="68" t="s">
        <v>28</v>
      </c>
      <c r="C27" s="33">
        <v>0.7157</v>
      </c>
      <c r="D27" s="5" t="s">
        <v>29</v>
      </c>
    </row>
    <row r="28" spans="1:21" ht="15.75" thickBot="1" x14ac:dyDescent="0.3">
      <c r="A28" s="68" t="s">
        <v>30</v>
      </c>
      <c r="C28" s="34">
        <f>C27*C25</f>
        <v>19.37613801010562</v>
      </c>
      <c r="D28" s="5" t="s">
        <v>22</v>
      </c>
    </row>
    <row r="29" spans="1:21" ht="15.75" thickBot="1" x14ac:dyDescent="0.3">
      <c r="A29" s="68" t="s">
        <v>31</v>
      </c>
      <c r="C29" s="30">
        <f>(('[1]5th Iteration'!$H$255/'[1]5th Iteration'!$H$248)/'[1]5th Iteration'!$H$222)*1000</f>
        <v>144.85971329194629</v>
      </c>
      <c r="D29" s="5" t="s">
        <v>32</v>
      </c>
    </row>
    <row r="30" spans="1:21" s="67" customFormat="1" ht="15.75" thickBot="1" x14ac:dyDescent="0.3">
      <c r="A30" s="69" t="s">
        <v>33</v>
      </c>
      <c r="B30" s="66"/>
      <c r="C30" s="30">
        <f>(C29*C19)/1000</f>
        <v>601.47785769760992</v>
      </c>
      <c r="D30" s="66" t="s">
        <v>22</v>
      </c>
      <c r="E30" s="66"/>
      <c r="F30" s="66"/>
      <c r="G30" s="66"/>
      <c r="H30" s="66"/>
      <c r="I30" s="66"/>
      <c r="J30" s="66"/>
      <c r="K30" s="66"/>
      <c r="L30" s="66"/>
      <c r="M30" s="66"/>
      <c r="N30" s="70"/>
      <c r="O30" s="70"/>
      <c r="P30" s="66"/>
      <c r="Q30" s="66"/>
      <c r="R30" s="66"/>
      <c r="S30" s="66"/>
      <c r="T30" s="66"/>
      <c r="U30" s="66"/>
    </row>
    <row r="31" spans="1:21" ht="15.75" thickBot="1" x14ac:dyDescent="0.3">
      <c r="A31" s="68" t="s">
        <v>34</v>
      </c>
      <c r="C31" s="30" t="s">
        <v>35</v>
      </c>
      <c r="N31" s="35"/>
      <c r="O31" s="35"/>
    </row>
    <row r="32" spans="1:21" ht="15.75" thickBot="1" x14ac:dyDescent="0.3">
      <c r="A32" s="68" t="s">
        <v>36</v>
      </c>
      <c r="C32" s="29">
        <f>(22+10%*22)%</f>
        <v>0.24199999999999999</v>
      </c>
      <c r="N32" s="35"/>
      <c r="O32" s="35"/>
    </row>
    <row r="33" spans="1:31" ht="15.75" thickBot="1" x14ac:dyDescent="0.3">
      <c r="A33" s="68" t="s">
        <v>37</v>
      </c>
      <c r="C33" s="30">
        <f>C30*C32</f>
        <v>145.5576415628216</v>
      </c>
      <c r="D33" s="5" t="s">
        <v>22</v>
      </c>
      <c r="N33" s="35"/>
      <c r="O33" s="35"/>
    </row>
    <row r="34" spans="1:31" ht="15.75" thickBot="1" x14ac:dyDescent="0.3">
      <c r="A34" s="68" t="s">
        <v>62</v>
      </c>
      <c r="C34" s="30">
        <f>((C33*32.4*1000*117)/(32.4*1000000))</f>
        <v>17.030244062850127</v>
      </c>
      <c r="D34" s="5" t="s">
        <v>61</v>
      </c>
      <c r="N34" s="35"/>
      <c r="O34" s="35"/>
    </row>
    <row r="35" spans="1:31" s="67" customFormat="1" ht="15.75" thickBot="1" x14ac:dyDescent="0.3">
      <c r="A35" s="69" t="s">
        <v>38</v>
      </c>
      <c r="B35" s="66"/>
      <c r="C35" s="30">
        <f>(C29*C32)/0.7</f>
        <v>50.080072309501432</v>
      </c>
      <c r="D35" s="66" t="s">
        <v>39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31" s="67" customFormat="1" ht="15.75" thickBot="1" x14ac:dyDescent="0.3">
      <c r="A36" s="69" t="s">
        <v>40</v>
      </c>
      <c r="B36" s="66"/>
      <c r="C36" s="36">
        <f>(C30*C32)/0.7</f>
        <v>207.93948794688802</v>
      </c>
      <c r="D36" s="66" t="s">
        <v>41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8" spans="1:31" x14ac:dyDescent="0.25">
      <c r="A38" s="61" t="s">
        <v>42</v>
      </c>
      <c r="B38" s="63" t="s">
        <v>43</v>
      </c>
      <c r="C38" s="64"/>
      <c r="D38" s="65"/>
    </row>
    <row r="39" spans="1:31" x14ac:dyDescent="0.25">
      <c r="A39" s="62"/>
      <c r="B39" s="37" t="s">
        <v>44</v>
      </c>
      <c r="C39" s="38" t="s">
        <v>45</v>
      </c>
      <c r="D39" s="39" t="s">
        <v>46</v>
      </c>
    </row>
    <row r="40" spans="1:31" x14ac:dyDescent="0.25">
      <c r="A40" s="40">
        <f>2021</f>
        <v>2021</v>
      </c>
      <c r="B40" s="41">
        <f>C9</f>
        <v>2041587</v>
      </c>
      <c r="C40" s="42">
        <f>C11</f>
        <v>551667</v>
      </c>
      <c r="D40" s="43">
        <f>C13</f>
        <v>432132</v>
      </c>
      <c r="E40" s="44"/>
    </row>
    <row r="41" spans="1:31" x14ac:dyDescent="0.25">
      <c r="A41" s="4">
        <v>2022</v>
      </c>
      <c r="B41" s="17">
        <f t="shared" ref="B41:B63" si="0">$B$40*((1+$C$10)^(A41-$A$40))</f>
        <v>2072414.9636999997</v>
      </c>
      <c r="C41" s="13">
        <f t="shared" ref="C41:C63" si="1">$C$40*((1+$C$12)^(A41-$A$40))</f>
        <v>560383.33860000002</v>
      </c>
      <c r="D41" s="45">
        <f t="shared" ref="D41:D63" si="2">$D$40*((1+$C$14)^(A41-$A$40))</f>
        <v>446608.42200000002</v>
      </c>
      <c r="E41" s="35"/>
      <c r="F41" s="35"/>
      <c r="G41" s="35"/>
      <c r="H41" s="35"/>
      <c r="I41" s="35"/>
      <c r="J41" s="35"/>
      <c r="K41" s="35"/>
      <c r="L41" s="35"/>
      <c r="M41" s="35"/>
      <c r="T41" s="35"/>
      <c r="U41" s="35"/>
      <c r="V41" s="1"/>
      <c r="Y41" s="1"/>
      <c r="AB41" s="1"/>
      <c r="AE41" s="1"/>
    </row>
    <row r="42" spans="1:31" x14ac:dyDescent="0.25">
      <c r="A42" s="4">
        <v>2023</v>
      </c>
      <c r="B42" s="17">
        <f t="shared" si="0"/>
        <v>2103708.4296518695</v>
      </c>
      <c r="C42" s="13">
        <f t="shared" si="1"/>
        <v>569237.3953498801</v>
      </c>
      <c r="D42" s="45">
        <f t="shared" si="2"/>
        <v>461569.80413700012</v>
      </c>
      <c r="E42" s="35"/>
      <c r="F42" s="35"/>
      <c r="G42" s="35"/>
      <c r="H42" s="35"/>
      <c r="I42" s="35"/>
      <c r="J42" s="35"/>
      <c r="K42" s="35"/>
      <c r="L42" s="35"/>
      <c r="M42" s="35"/>
      <c r="T42" s="35"/>
      <c r="U42" s="35"/>
      <c r="V42" s="1"/>
      <c r="Y42" s="1"/>
      <c r="AB42" s="1"/>
      <c r="AE42" s="1"/>
    </row>
    <row r="43" spans="1:31" x14ac:dyDescent="0.25">
      <c r="A43" s="4">
        <f>A42+1</f>
        <v>2024</v>
      </c>
      <c r="B43" s="17">
        <f t="shared" si="0"/>
        <v>2135474.4269396127</v>
      </c>
      <c r="C43" s="13">
        <f t="shared" si="1"/>
        <v>578231.34619640815</v>
      </c>
      <c r="D43" s="45">
        <f t="shared" si="2"/>
        <v>477032.39257558965</v>
      </c>
      <c r="E43" s="35"/>
      <c r="F43" s="35"/>
      <c r="G43" s="35"/>
      <c r="H43" s="35"/>
      <c r="I43" s="35"/>
      <c r="J43" s="35"/>
      <c r="K43" s="35"/>
      <c r="L43" s="35"/>
      <c r="M43" s="35"/>
      <c r="T43" s="35"/>
      <c r="U43" s="35"/>
      <c r="V43" s="1"/>
      <c r="Y43" s="1"/>
      <c r="AB43" s="1"/>
      <c r="AE43" s="1"/>
    </row>
    <row r="44" spans="1:31" x14ac:dyDescent="0.25">
      <c r="A44" s="4">
        <f t="shared" ref="A44:A53" si="3">A43+1</f>
        <v>2025</v>
      </c>
      <c r="B44" s="17">
        <f t="shared" si="0"/>
        <v>2167720.0907864007</v>
      </c>
      <c r="C44" s="13">
        <f t="shared" si="1"/>
        <v>587367.40146631142</v>
      </c>
      <c r="D44" s="45">
        <f t="shared" si="2"/>
        <v>493012.97772687202</v>
      </c>
      <c r="E44" s="35"/>
      <c r="F44" s="35"/>
      <c r="G44" s="35"/>
      <c r="H44" s="35"/>
      <c r="I44" s="35"/>
      <c r="J44" s="35"/>
      <c r="K44" s="35"/>
      <c r="L44" s="35"/>
      <c r="M44" s="35"/>
      <c r="T44" s="35"/>
      <c r="U44" s="35"/>
      <c r="V44" s="1"/>
      <c r="Y44" s="1"/>
      <c r="AB44" s="1"/>
      <c r="AE44" s="1"/>
    </row>
    <row r="45" spans="1:31" x14ac:dyDescent="0.25">
      <c r="A45" s="4">
        <f t="shared" si="3"/>
        <v>2026</v>
      </c>
      <c r="B45" s="17">
        <f t="shared" si="0"/>
        <v>2200452.6641572751</v>
      </c>
      <c r="C45" s="13">
        <f t="shared" si="1"/>
        <v>596647.80640947924</v>
      </c>
      <c r="D45" s="45">
        <f t="shared" si="2"/>
        <v>509528.9124807223</v>
      </c>
      <c r="E45" s="35"/>
      <c r="F45" s="35"/>
      <c r="G45" s="35"/>
      <c r="H45" s="35"/>
      <c r="I45" s="35"/>
      <c r="J45" s="35"/>
      <c r="K45" s="35"/>
      <c r="L45" s="35"/>
      <c r="M45" s="35"/>
      <c r="T45" s="35"/>
      <c r="U45" s="35"/>
      <c r="V45" s="1"/>
      <c r="Y45" s="1"/>
      <c r="AB45" s="1"/>
      <c r="AE45" s="1"/>
    </row>
    <row r="46" spans="1:31" x14ac:dyDescent="0.25">
      <c r="A46" s="4">
        <f t="shared" si="3"/>
        <v>2027</v>
      </c>
      <c r="B46" s="17">
        <f t="shared" si="0"/>
        <v>2233679.4993860498</v>
      </c>
      <c r="C46" s="13">
        <f t="shared" si="1"/>
        <v>606074.84175074904</v>
      </c>
      <c r="D46" s="45">
        <f t="shared" si="2"/>
        <v>526598.13104882662</v>
      </c>
      <c r="E46" s="35"/>
      <c r="F46" s="35"/>
      <c r="G46" s="35"/>
      <c r="H46" s="35"/>
      <c r="I46" s="35"/>
      <c r="J46" s="35"/>
      <c r="K46" s="35"/>
      <c r="L46" s="35"/>
      <c r="M46" s="35"/>
      <c r="T46" s="35"/>
      <c r="U46" s="35"/>
      <c r="V46" s="1"/>
      <c r="Y46" s="1"/>
      <c r="AB46" s="1"/>
      <c r="AE46" s="1"/>
    </row>
    <row r="47" spans="1:31" x14ac:dyDescent="0.25">
      <c r="A47" s="4">
        <f t="shared" si="3"/>
        <v>2028</v>
      </c>
      <c r="B47" s="17">
        <f t="shared" si="0"/>
        <v>2267408.0598267787</v>
      </c>
      <c r="C47" s="13">
        <f t="shared" si="1"/>
        <v>615650.82425041089</v>
      </c>
      <c r="D47" s="45">
        <f t="shared" si="2"/>
        <v>544239.16843896231</v>
      </c>
      <c r="E47" s="35"/>
      <c r="F47" s="35"/>
      <c r="G47" s="35"/>
      <c r="H47" s="35"/>
      <c r="I47" s="35"/>
      <c r="J47" s="35"/>
      <c r="K47" s="35"/>
      <c r="L47" s="35"/>
      <c r="M47" s="35"/>
      <c r="T47" s="35"/>
      <c r="U47" s="35"/>
      <c r="V47" s="1"/>
      <c r="Y47" s="1"/>
      <c r="AB47" s="1"/>
      <c r="AE47" s="1"/>
    </row>
    <row r="48" spans="1:31" x14ac:dyDescent="0.25">
      <c r="A48" s="4">
        <f t="shared" si="3"/>
        <v>2029</v>
      </c>
      <c r="B48" s="17">
        <f t="shared" si="0"/>
        <v>2301645.9215301629</v>
      </c>
      <c r="C48" s="13">
        <f t="shared" si="1"/>
        <v>625378.10727356735</v>
      </c>
      <c r="D48" s="45">
        <f t="shared" si="2"/>
        <v>562471.18058166769</v>
      </c>
      <c r="E48" s="35"/>
      <c r="F48" s="35"/>
      <c r="G48" s="35"/>
      <c r="H48" s="35"/>
      <c r="I48" s="35"/>
      <c r="J48" s="35"/>
      <c r="K48" s="35"/>
      <c r="L48" s="35"/>
      <c r="M48" s="35"/>
      <c r="T48" s="35"/>
      <c r="U48" s="35"/>
      <c r="V48" s="1"/>
      <c r="Y48" s="1"/>
      <c r="AB48" s="1"/>
      <c r="AE48" s="1"/>
    </row>
    <row r="49" spans="1:31" x14ac:dyDescent="0.25">
      <c r="A49" s="4">
        <f t="shared" si="3"/>
        <v>2030</v>
      </c>
      <c r="B49" s="17">
        <f t="shared" si="0"/>
        <v>2336400.7749452684</v>
      </c>
      <c r="C49" s="13">
        <f t="shared" si="1"/>
        <v>635259.08136848977</v>
      </c>
      <c r="D49" s="45">
        <f t="shared" si="2"/>
        <v>581313.96513115359</v>
      </c>
      <c r="E49" s="35"/>
      <c r="F49" s="35"/>
      <c r="G49" s="35"/>
      <c r="H49" s="35"/>
      <c r="I49" s="35"/>
      <c r="J49" s="35"/>
      <c r="K49" s="35"/>
      <c r="L49" s="35"/>
      <c r="M49" s="35"/>
      <c r="T49" s="35"/>
      <c r="U49" s="35"/>
      <c r="V49" s="1"/>
      <c r="Y49" s="1"/>
      <c r="AB49" s="1"/>
      <c r="AE49" s="1"/>
    </row>
    <row r="50" spans="1:31" x14ac:dyDescent="0.25">
      <c r="A50" s="4">
        <f t="shared" si="3"/>
        <v>2031</v>
      </c>
      <c r="B50" s="17">
        <f t="shared" si="0"/>
        <v>2371680.4266469418</v>
      </c>
      <c r="C50" s="13">
        <f t="shared" si="1"/>
        <v>645296.17485411197</v>
      </c>
      <c r="D50" s="45">
        <f t="shared" si="2"/>
        <v>600787.98296304734</v>
      </c>
      <c r="E50" s="35"/>
      <c r="F50" s="35"/>
      <c r="G50" s="35"/>
      <c r="H50" s="35"/>
      <c r="I50" s="35"/>
      <c r="J50" s="35"/>
      <c r="K50" s="35"/>
      <c r="L50" s="35"/>
      <c r="M50" s="35"/>
      <c r="T50" s="35"/>
      <c r="U50" s="35"/>
      <c r="V50" s="1"/>
      <c r="Y50" s="1"/>
      <c r="AB50" s="1"/>
      <c r="AE50" s="1"/>
    </row>
    <row r="51" spans="1:31" x14ac:dyDescent="0.25">
      <c r="A51" s="4">
        <f t="shared" si="3"/>
        <v>2032</v>
      </c>
      <c r="B51" s="17">
        <f t="shared" si="0"/>
        <v>2407492.8010893101</v>
      </c>
      <c r="C51" s="13">
        <f t="shared" si="1"/>
        <v>655491.85441680695</v>
      </c>
      <c r="D51" s="45">
        <f t="shared" si="2"/>
        <v>620914.38039230939</v>
      </c>
      <c r="E51" s="35"/>
      <c r="F51" s="35"/>
      <c r="G51" s="35"/>
      <c r="H51" s="35"/>
      <c r="I51" s="35"/>
      <c r="J51" s="35"/>
      <c r="K51" s="35"/>
      <c r="L51" s="35"/>
      <c r="M51" s="35"/>
      <c r="T51" s="35"/>
      <c r="U51" s="35"/>
      <c r="V51" s="1"/>
      <c r="Y51" s="1"/>
      <c r="AB51" s="1"/>
      <c r="AE51" s="1"/>
    </row>
    <row r="52" spans="1:31" x14ac:dyDescent="0.25">
      <c r="A52" s="4">
        <f t="shared" si="3"/>
        <v>2033</v>
      </c>
      <c r="B52" s="17">
        <f t="shared" si="0"/>
        <v>2443845.9423857587</v>
      </c>
      <c r="C52" s="13">
        <f t="shared" si="1"/>
        <v>665848.62571659253</v>
      </c>
      <c r="D52" s="45">
        <f t="shared" si="2"/>
        <v>641715.01213545189</v>
      </c>
      <c r="E52" s="35"/>
      <c r="F52" s="35"/>
      <c r="G52" s="35"/>
      <c r="H52" s="35"/>
      <c r="I52" s="35"/>
      <c r="J52" s="35"/>
      <c r="K52" s="35"/>
      <c r="L52" s="35"/>
      <c r="M52" s="35"/>
      <c r="T52" s="35"/>
      <c r="U52" s="35"/>
      <c r="V52" s="1"/>
      <c r="Y52" s="1"/>
      <c r="AB52" s="1"/>
      <c r="AE52" s="1"/>
    </row>
    <row r="53" spans="1:31" x14ac:dyDescent="0.25">
      <c r="A53" s="4">
        <f t="shared" si="3"/>
        <v>2034</v>
      </c>
      <c r="B53" s="17">
        <f t="shared" si="0"/>
        <v>2480748.0161157832</v>
      </c>
      <c r="C53" s="13">
        <f t="shared" si="1"/>
        <v>676369.03400291468</v>
      </c>
      <c r="D53" s="45">
        <f t="shared" si="2"/>
        <v>663212.46504198969</v>
      </c>
      <c r="E53" s="35"/>
      <c r="F53" s="35"/>
      <c r="G53" s="35"/>
      <c r="H53" s="35"/>
      <c r="I53" s="35"/>
      <c r="J53" s="35"/>
      <c r="K53" s="35"/>
      <c r="L53" s="35"/>
      <c r="M53" s="35"/>
      <c r="T53" s="35"/>
      <c r="U53" s="35"/>
      <c r="V53" s="1"/>
      <c r="Y53" s="1"/>
      <c r="AB53" s="1"/>
      <c r="AE53" s="1"/>
    </row>
    <row r="54" spans="1:31" x14ac:dyDescent="0.25">
      <c r="A54" s="4">
        <f>A53+1</f>
        <v>2035</v>
      </c>
      <c r="B54" s="17">
        <f t="shared" si="0"/>
        <v>2518207.3111591316</v>
      </c>
      <c r="C54" s="13">
        <f t="shared" si="1"/>
        <v>687055.66474016081</v>
      </c>
      <c r="D54" s="45">
        <f t="shared" si="2"/>
        <v>685430.08262089652</v>
      </c>
      <c r="E54" s="35"/>
      <c r="F54" s="35"/>
      <c r="G54" s="35"/>
      <c r="H54" s="35"/>
      <c r="I54" s="35"/>
      <c r="J54" s="35"/>
      <c r="K54" s="35"/>
      <c r="L54" s="35"/>
      <c r="M54" s="35"/>
      <c r="T54" s="35"/>
      <c r="U54" s="35"/>
      <c r="V54" s="1"/>
      <c r="Y54" s="1"/>
      <c r="AB54" s="1"/>
      <c r="AE54" s="1"/>
    </row>
    <row r="55" spans="1:31" x14ac:dyDescent="0.25">
      <c r="A55" s="4">
        <f t="shared" ref="A55:A61" si="4">A54+1</f>
        <v>2036</v>
      </c>
      <c r="B55" s="17">
        <f t="shared" si="0"/>
        <v>2556232.2415576344</v>
      </c>
      <c r="C55" s="13">
        <f t="shared" si="1"/>
        <v>697911.14424305549</v>
      </c>
      <c r="D55" s="45">
        <f t="shared" si="2"/>
        <v>708391.99038869643</v>
      </c>
      <c r="E55" s="35"/>
      <c r="F55" s="35"/>
      <c r="G55" s="35"/>
      <c r="H55" s="35"/>
      <c r="I55" s="35"/>
      <c r="J55" s="35"/>
      <c r="K55" s="35"/>
      <c r="L55" s="35"/>
      <c r="M55" s="35"/>
      <c r="T55" s="35"/>
      <c r="U55" s="35"/>
      <c r="V55" s="1"/>
      <c r="Y55" s="1"/>
      <c r="AB55" s="1"/>
      <c r="AE55" s="1"/>
    </row>
    <row r="56" spans="1:31" x14ac:dyDescent="0.25">
      <c r="A56" s="4">
        <f t="shared" si="4"/>
        <v>2037</v>
      </c>
      <c r="B56" s="17">
        <f t="shared" si="0"/>
        <v>2594831.348405154</v>
      </c>
      <c r="C56" s="13">
        <f t="shared" si="1"/>
        <v>708938.14032209571</v>
      </c>
      <c r="D56" s="45">
        <f t="shared" si="2"/>
        <v>732123.12206671806</v>
      </c>
      <c r="E56" s="35"/>
      <c r="F56" s="35"/>
      <c r="G56" s="35"/>
      <c r="H56" s="35"/>
      <c r="I56" s="35"/>
      <c r="J56" s="35"/>
      <c r="K56" s="35"/>
      <c r="L56" s="35"/>
      <c r="M56" s="35"/>
      <c r="T56" s="35"/>
      <c r="U56" s="35"/>
      <c r="V56" s="1"/>
      <c r="Y56" s="1"/>
      <c r="AB56" s="1"/>
      <c r="AE56" s="1"/>
    </row>
    <row r="57" spans="1:31" x14ac:dyDescent="0.25">
      <c r="A57" s="4">
        <f t="shared" si="4"/>
        <v>2038</v>
      </c>
      <c r="B57" s="17">
        <f t="shared" si="0"/>
        <v>2634013.3017660719</v>
      </c>
      <c r="C57" s="13">
        <f t="shared" si="1"/>
        <v>720139.36293918488</v>
      </c>
      <c r="D57" s="45">
        <f t="shared" si="2"/>
        <v>756649.24665595312</v>
      </c>
      <c r="E57" s="35"/>
      <c r="F57" s="35"/>
      <c r="G57" s="35"/>
      <c r="H57" s="35"/>
      <c r="I57" s="35"/>
      <c r="J57" s="35"/>
      <c r="K57" s="35"/>
      <c r="L57" s="35"/>
      <c r="M57" s="35"/>
      <c r="T57" s="35"/>
      <c r="U57" s="35"/>
      <c r="V57" s="1"/>
      <c r="Y57" s="1"/>
      <c r="AB57" s="1"/>
      <c r="AE57" s="1"/>
    </row>
    <row r="58" spans="1:31" x14ac:dyDescent="0.25">
      <c r="A58" s="4">
        <f t="shared" si="4"/>
        <v>2039</v>
      </c>
      <c r="B58" s="17">
        <f t="shared" si="0"/>
        <v>2673786.9026227393</v>
      </c>
      <c r="C58" s="13">
        <f t="shared" si="1"/>
        <v>731517.56487362401</v>
      </c>
      <c r="D58" s="45">
        <f t="shared" si="2"/>
        <v>781996.99641892768</v>
      </c>
      <c r="E58" s="35"/>
      <c r="F58" s="35"/>
      <c r="G58" s="35"/>
      <c r="H58" s="35"/>
      <c r="I58" s="35"/>
      <c r="J58" s="35"/>
      <c r="K58" s="35"/>
      <c r="L58" s="35"/>
      <c r="M58" s="35"/>
      <c r="T58" s="35"/>
      <c r="U58" s="35"/>
      <c r="V58" s="1"/>
      <c r="Y58" s="1"/>
      <c r="AB58" s="1"/>
      <c r="AE58" s="1"/>
    </row>
    <row r="59" spans="1:31" x14ac:dyDescent="0.25">
      <c r="A59" s="4">
        <f t="shared" si="4"/>
        <v>2040</v>
      </c>
      <c r="B59" s="17">
        <f t="shared" si="0"/>
        <v>2714161.084852342</v>
      </c>
      <c r="C59" s="13">
        <f t="shared" si="1"/>
        <v>743075.54239862738</v>
      </c>
      <c r="D59" s="45">
        <f t="shared" si="2"/>
        <v>808193.89579896186</v>
      </c>
      <c r="E59" s="35"/>
      <c r="F59" s="35"/>
      <c r="G59" s="35"/>
      <c r="H59" s="35"/>
      <c r="I59" s="35"/>
      <c r="J59" s="35"/>
      <c r="K59" s="35"/>
      <c r="L59" s="35"/>
      <c r="M59" s="35"/>
      <c r="T59" s="35"/>
      <c r="U59" s="35"/>
      <c r="V59" s="1"/>
      <c r="Y59" s="1"/>
      <c r="AB59" s="1"/>
      <c r="AE59" s="1"/>
    </row>
    <row r="60" spans="1:31" x14ac:dyDescent="0.25">
      <c r="A60" s="4">
        <f t="shared" si="4"/>
        <v>2041</v>
      </c>
      <c r="B60" s="17">
        <f t="shared" si="0"/>
        <v>2755144.9172336124</v>
      </c>
      <c r="C60" s="13">
        <f t="shared" si="1"/>
        <v>754816.13596852566</v>
      </c>
      <c r="D60" s="45">
        <f t="shared" si="2"/>
        <v>835268.3913082272</v>
      </c>
      <c r="E60" s="35"/>
      <c r="F60" s="35"/>
      <c r="G60" s="35"/>
      <c r="H60" s="35"/>
      <c r="I60" s="35"/>
      <c r="J60" s="35"/>
      <c r="K60" s="35"/>
      <c r="L60" s="35"/>
      <c r="M60" s="35"/>
      <c r="T60" s="35"/>
      <c r="U60" s="35"/>
      <c r="V60" s="1"/>
      <c r="Y60" s="1"/>
      <c r="AB60" s="1"/>
      <c r="AE60" s="1"/>
    </row>
    <row r="61" spans="1:31" x14ac:dyDescent="0.25">
      <c r="A61" s="4">
        <f t="shared" si="4"/>
        <v>2042</v>
      </c>
      <c r="B61" s="17">
        <f t="shared" si="0"/>
        <v>2796747.6054838398</v>
      </c>
      <c r="C61" s="13">
        <f t="shared" si="1"/>
        <v>766742.23091682827</v>
      </c>
      <c r="D61" s="45">
        <f t="shared" si="2"/>
        <v>863249.8824170531</v>
      </c>
      <c r="E61" s="35"/>
      <c r="F61" s="35"/>
      <c r="G61" s="35"/>
      <c r="H61" s="35"/>
      <c r="I61" s="35"/>
      <c r="J61" s="35"/>
      <c r="K61" s="35"/>
      <c r="L61" s="35"/>
      <c r="M61" s="35"/>
      <c r="T61" s="35"/>
      <c r="U61" s="35"/>
      <c r="V61" s="1"/>
      <c r="Y61" s="1"/>
      <c r="AB61" s="1"/>
      <c r="AE61" s="1"/>
    </row>
    <row r="62" spans="1:31" x14ac:dyDescent="0.25">
      <c r="A62" s="4">
        <f>A61+1</f>
        <v>2043</v>
      </c>
      <c r="B62" s="17">
        <f t="shared" si="0"/>
        <v>2838978.4943266455</v>
      </c>
      <c r="C62" s="13">
        <f t="shared" si="1"/>
        <v>778856.75816531421</v>
      </c>
      <c r="D62" s="45">
        <f t="shared" si="2"/>
        <v>892168.75347802439</v>
      </c>
      <c r="E62" s="35"/>
      <c r="F62" s="35"/>
      <c r="G62" s="35"/>
      <c r="H62" s="35"/>
      <c r="I62" s="35"/>
      <c r="J62" s="35"/>
      <c r="K62" s="35"/>
      <c r="L62" s="35"/>
      <c r="M62" s="35"/>
      <c r="T62" s="35"/>
      <c r="U62" s="35"/>
      <c r="V62" s="1"/>
      <c r="Y62" s="1"/>
      <c r="AB62" s="1"/>
      <c r="AE62" s="1"/>
    </row>
    <row r="63" spans="1:31" x14ac:dyDescent="0.25">
      <c r="A63" s="4">
        <v>2044</v>
      </c>
      <c r="B63" s="17">
        <f t="shared" si="0"/>
        <v>2881847.0695909774</v>
      </c>
      <c r="C63" s="13">
        <f t="shared" si="1"/>
        <v>791162.69494432642</v>
      </c>
      <c r="D63" s="45">
        <f t="shared" si="2"/>
        <v>922056.40671953838</v>
      </c>
      <c r="E63" s="35"/>
    </row>
    <row r="64" spans="1:31" x14ac:dyDescent="0.25">
      <c r="B64" s="35"/>
      <c r="C64" s="35"/>
      <c r="D64" s="35"/>
      <c r="E64" s="35"/>
    </row>
    <row r="65" spans="1:22" x14ac:dyDescent="0.25">
      <c r="B65" s="35"/>
      <c r="C65" s="35"/>
      <c r="D65" s="35"/>
      <c r="E65" s="35"/>
    </row>
    <row r="67" spans="1:22" ht="15" customHeight="1" x14ac:dyDescent="0.25">
      <c r="A67" s="52" t="s">
        <v>47</v>
      </c>
      <c r="B67" s="52" t="s">
        <v>48</v>
      </c>
      <c r="C67" s="61" t="s">
        <v>49</v>
      </c>
      <c r="D67" s="52" t="s">
        <v>50</v>
      </c>
      <c r="E67" s="52" t="s">
        <v>54</v>
      </c>
      <c r="F67" s="54" t="s">
        <v>51</v>
      </c>
      <c r="G67" s="54" t="s">
        <v>55</v>
      </c>
      <c r="H67" s="54" t="s">
        <v>52</v>
      </c>
      <c r="I67" s="8" t="s">
        <v>53</v>
      </c>
      <c r="J67" s="56" t="s">
        <v>65</v>
      </c>
      <c r="K67" s="57"/>
      <c r="L67" s="57"/>
      <c r="M67" s="57"/>
      <c r="N67" s="57"/>
      <c r="O67" s="57"/>
      <c r="P67" s="58" t="s">
        <v>72</v>
      </c>
      <c r="Q67" s="59"/>
      <c r="R67" s="59"/>
      <c r="S67" s="59"/>
      <c r="T67" s="59"/>
      <c r="U67" s="60"/>
    </row>
    <row r="68" spans="1:22" x14ac:dyDescent="0.25">
      <c r="A68" s="53"/>
      <c r="B68" s="53"/>
      <c r="C68" s="62"/>
      <c r="D68" s="53"/>
      <c r="E68" s="53"/>
      <c r="F68" s="55"/>
      <c r="G68" s="55"/>
      <c r="H68" s="55"/>
      <c r="I68" s="9"/>
      <c r="J68" s="4" t="s">
        <v>66</v>
      </c>
      <c r="K68" s="4" t="s">
        <v>67</v>
      </c>
      <c r="L68" s="4" t="s">
        <v>68</v>
      </c>
      <c r="M68" s="4" t="s">
        <v>70</v>
      </c>
      <c r="N68" s="4" t="s">
        <v>69</v>
      </c>
      <c r="O68" s="4" t="s">
        <v>71</v>
      </c>
      <c r="P68" s="4" t="s">
        <v>74</v>
      </c>
      <c r="Q68" s="4" t="s">
        <v>73</v>
      </c>
      <c r="R68" s="4" t="s">
        <v>75</v>
      </c>
      <c r="S68" s="4" t="s">
        <v>70</v>
      </c>
      <c r="T68" s="4" t="s">
        <v>76</v>
      </c>
      <c r="U68" s="4" t="s">
        <v>71</v>
      </c>
      <c r="V68" s="2"/>
    </row>
    <row r="69" spans="1:22" x14ac:dyDescent="0.25">
      <c r="A69" s="4">
        <v>2024</v>
      </c>
      <c r="B69" s="10">
        <f t="shared" ref="B69:B89" si="5">B43+C43+D43</f>
        <v>3190738.1657116101</v>
      </c>
      <c r="C69" s="11">
        <f>C7</f>
        <v>0.79090909090909089</v>
      </c>
      <c r="D69" s="10">
        <f t="shared" ref="D69:D89" si="6">((IF(A69&lt;= 2033,117,150))*B69*365*$C$17)/1000000</f>
        <v>109008.37869337146</v>
      </c>
      <c r="E69" s="10">
        <f>D69/365</f>
        <v>298.65309231060672</v>
      </c>
      <c r="F69" s="10">
        <f t="shared" ref="F69:F89" si="7">D69*C69</f>
        <v>86215.717693848332</v>
      </c>
      <c r="G69" s="10">
        <f>F69/365</f>
        <v>236.20744573657078</v>
      </c>
      <c r="H69" s="12">
        <v>32.4</v>
      </c>
      <c r="I69" s="12">
        <f>IF(H69&lt;= (F69/365),H69,F69)*365</f>
        <v>11826</v>
      </c>
      <c r="J69" s="13">
        <f>(K69/365)*1000</f>
        <v>627.78687152742202</v>
      </c>
      <c r="K69" s="13">
        <f t="shared" ref="K69:K89" si="8">(I69*$C$28)/1000</f>
        <v>229.14220810750908</v>
      </c>
      <c r="L69" s="14">
        <f>(M69/365)*1000</f>
        <v>4576.7880676063296</v>
      </c>
      <c r="M69" s="14">
        <f t="shared" ref="M69:M89" si="9">(F69*$C$28)/1000</f>
        <v>1670.5276446763103</v>
      </c>
      <c r="N69" s="15">
        <f>(O69/365)*1000</f>
        <v>5786.7435337551296</v>
      </c>
      <c r="O69" s="10">
        <f t="shared" ref="O69:O89" si="10">(D69*$C$28)/1000</f>
        <v>2112.1613898206224</v>
      </c>
      <c r="P69" s="46">
        <f>(Q69/365)</f>
        <v>6.7372394094791721</v>
      </c>
      <c r="Q69" s="17">
        <f>(I69*$C$36)/1000</f>
        <v>2459.0923844598979</v>
      </c>
      <c r="R69" s="18">
        <f>(S69/365)</f>
        <v>49.116855315704875</v>
      </c>
      <c r="S69" s="19">
        <f>(F69*$C$36)/1000</f>
        <v>17927.652190232278</v>
      </c>
      <c r="T69" s="10">
        <f>U69/365</f>
        <v>62.101771088822247</v>
      </c>
      <c r="U69" s="10">
        <f>(D69*$C$36)/1000</f>
        <v>22667.14644742012</v>
      </c>
      <c r="V69" s="3"/>
    </row>
    <row r="70" spans="1:22" x14ac:dyDescent="0.25">
      <c r="A70" s="4">
        <f>A69+1</f>
        <v>2025</v>
      </c>
      <c r="B70" s="10">
        <f t="shared" si="5"/>
        <v>3248100.4699795842</v>
      </c>
      <c r="C70" s="11">
        <f>MIN(C69+$C$6,$C$8)</f>
        <v>0.80909090909090908</v>
      </c>
      <c r="D70" s="10">
        <f t="shared" si="6"/>
        <v>110968.10445638253</v>
      </c>
      <c r="E70" s="10">
        <f t="shared" ref="E70:E89" si="11">D70/365</f>
        <v>304.02220399008911</v>
      </c>
      <c r="F70" s="10">
        <f t="shared" si="7"/>
        <v>89783.284514709492</v>
      </c>
      <c r="G70" s="10">
        <f t="shared" ref="G70:G89" si="12">F70/365</f>
        <v>245.98160141016299</v>
      </c>
      <c r="H70" s="12">
        <v>32.4</v>
      </c>
      <c r="I70" s="12">
        <f t="shared" ref="I70:I89" si="13">IF(H70&lt;= (F70/365),H70,F70)*365</f>
        <v>11826</v>
      </c>
      <c r="J70" s="13">
        <f t="shared" ref="J70:J89" si="14">(K70/365)*1000</f>
        <v>627.78687152742202</v>
      </c>
      <c r="K70" s="13">
        <f t="shared" si="8"/>
        <v>229.14220810750908</v>
      </c>
      <c r="L70" s="14">
        <f t="shared" ref="L70:L89" si="15">(M70/365)*1000</f>
        <v>4766.1734568701104</v>
      </c>
      <c r="M70" s="14">
        <f t="shared" si="9"/>
        <v>1739.65331175759</v>
      </c>
      <c r="N70" s="15">
        <f t="shared" ref="N70:N89" si="16">(O70/365)*1000</f>
        <v>5890.7761826484502</v>
      </c>
      <c r="O70" s="10">
        <f t="shared" si="10"/>
        <v>2150.1333066666843</v>
      </c>
      <c r="P70" s="46">
        <f t="shared" ref="P70:P89" si="17">(Q70/365)</f>
        <v>6.7372394094791721</v>
      </c>
      <c r="Q70" s="17">
        <f>(I70*$C$36)/1000</f>
        <v>2459.0923844598979</v>
      </c>
      <c r="R70" s="18">
        <f t="shared" ref="R70:R89" si="18">(S70/365)</f>
        <v>51.149288241584806</v>
      </c>
      <c r="S70" s="19">
        <f>(F70*$C$36)/1000</f>
        <v>18669.490208178453</v>
      </c>
      <c r="T70" s="10">
        <f t="shared" ref="T70:T89" si="19">U70/365</f>
        <v>63.218221422183468</v>
      </c>
      <c r="U70" s="10">
        <f>(D70*$C$36)/1000</f>
        <v>23074.650819096965</v>
      </c>
      <c r="V70" s="6"/>
    </row>
    <row r="71" spans="1:22" x14ac:dyDescent="0.25">
      <c r="A71" s="4">
        <f t="shared" ref="A71:A80" si="20">A70+1</f>
        <v>2026</v>
      </c>
      <c r="B71" s="10">
        <f t="shared" si="5"/>
        <v>3306629.3830474764</v>
      </c>
      <c r="C71" s="11">
        <f>MIN(C70+$C$6,$C$8)</f>
        <v>0.82727272727272727</v>
      </c>
      <c r="D71" s="10">
        <f t="shared" si="6"/>
        <v>112967.68624243399</v>
      </c>
      <c r="E71" s="10">
        <f t="shared" si="11"/>
        <v>309.50051025324382</v>
      </c>
      <c r="F71" s="10">
        <f t="shared" si="7"/>
        <v>93455.085891468116</v>
      </c>
      <c r="G71" s="10">
        <f t="shared" si="12"/>
        <v>256.04133120950166</v>
      </c>
      <c r="H71" s="12">
        <v>32.4</v>
      </c>
      <c r="I71" s="12">
        <f t="shared" si="13"/>
        <v>11826</v>
      </c>
      <c r="J71" s="13">
        <f t="shared" si="14"/>
        <v>627.78687152742202</v>
      </c>
      <c r="K71" s="13">
        <f t="shared" si="8"/>
        <v>229.14220810750908</v>
      </c>
      <c r="L71" s="14">
        <f t="shared" si="15"/>
        <v>4961.0921698064685</v>
      </c>
      <c r="M71" s="14">
        <f t="shared" si="9"/>
        <v>1810.798641979361</v>
      </c>
      <c r="N71" s="15">
        <f t="shared" si="16"/>
        <v>5996.9246008649625</v>
      </c>
      <c r="O71" s="10">
        <f t="shared" si="10"/>
        <v>2188.8774793157113</v>
      </c>
      <c r="P71" s="46">
        <f t="shared" si="17"/>
        <v>6.7372394094791721</v>
      </c>
      <c r="Q71" s="17">
        <f>(I71*$C$36)/1000</f>
        <v>2459.0923844598979</v>
      </c>
      <c r="R71" s="18">
        <f t="shared" si="18"/>
        <v>53.241103304943344</v>
      </c>
      <c r="S71" s="19">
        <f>(F71*$C$36)/1000</f>
        <v>19433.00270630432</v>
      </c>
      <c r="T71" s="10">
        <f t="shared" si="19"/>
        <v>64.357377621360087</v>
      </c>
      <c r="U71" s="10">
        <f>(D71*$C$36)/1000</f>
        <v>23490.44283179643</v>
      </c>
      <c r="V71" s="3"/>
    </row>
    <row r="72" spans="1:22" x14ac:dyDescent="0.25">
      <c r="A72" s="4">
        <f t="shared" si="20"/>
        <v>2027</v>
      </c>
      <c r="B72" s="10">
        <f t="shared" si="5"/>
        <v>3366352.4721856252</v>
      </c>
      <c r="C72" s="11">
        <f t="shared" ref="C72:C89" si="21">MIN(C71+$C$6,$C$8)</f>
        <v>0.84545454545454546</v>
      </c>
      <c r="D72" s="10">
        <f t="shared" si="6"/>
        <v>115008.06585974971</v>
      </c>
      <c r="E72" s="10">
        <f t="shared" si="11"/>
        <v>315.09059139657455</v>
      </c>
      <c r="F72" s="10">
        <f t="shared" si="7"/>
        <v>97234.092045061116</v>
      </c>
      <c r="G72" s="10">
        <f t="shared" si="12"/>
        <v>266.39477272619484</v>
      </c>
      <c r="H72" s="12">
        <v>32.4</v>
      </c>
      <c r="I72" s="12">
        <f t="shared" si="13"/>
        <v>11826</v>
      </c>
      <c r="J72" s="13">
        <f t="shared" si="14"/>
        <v>627.78687152742202</v>
      </c>
      <c r="K72" s="13">
        <f t="shared" si="8"/>
        <v>229.14220810750908</v>
      </c>
      <c r="L72" s="14">
        <f t="shared" si="15"/>
        <v>5161.7018815134716</v>
      </c>
      <c r="M72" s="14">
        <f t="shared" si="9"/>
        <v>1884.0211867524172</v>
      </c>
      <c r="N72" s="15">
        <f t="shared" si="16"/>
        <v>6105.2387845858266</v>
      </c>
      <c r="O72" s="10">
        <f t="shared" si="10"/>
        <v>2228.4121563738267</v>
      </c>
      <c r="P72" s="46">
        <f t="shared" si="17"/>
        <v>6.7372394094791721</v>
      </c>
      <c r="Q72" s="17">
        <f>(I72*$C$36)/1000</f>
        <v>2459.0923844598979</v>
      </c>
      <c r="R72" s="18">
        <f t="shared" si="18"/>
        <v>55.393992632412569</v>
      </c>
      <c r="S72" s="19">
        <f>(F72*$C$36)/1000</f>
        <v>20218.807310830587</v>
      </c>
      <c r="T72" s="10">
        <f t="shared" si="19"/>
        <v>65.519776231885828</v>
      </c>
      <c r="U72" s="10">
        <f>(D72*$C$36)/1000</f>
        <v>23914.718324638328</v>
      </c>
      <c r="V72" s="3"/>
    </row>
    <row r="73" spans="1:22" x14ac:dyDescent="0.25">
      <c r="A73" s="4">
        <f t="shared" si="20"/>
        <v>2028</v>
      </c>
      <c r="B73" s="10">
        <f t="shared" si="5"/>
        <v>3427298.0525161517</v>
      </c>
      <c r="C73" s="11">
        <f t="shared" si="21"/>
        <v>0.86363636363636365</v>
      </c>
      <c r="D73" s="10">
        <f t="shared" si="6"/>
        <v>117090.21066616182</v>
      </c>
      <c r="E73" s="10">
        <f t="shared" si="11"/>
        <v>320.79509771551182</v>
      </c>
      <c r="F73" s="10">
        <f t="shared" si="7"/>
        <v>101123.36375713976</v>
      </c>
      <c r="G73" s="10">
        <f t="shared" si="12"/>
        <v>277.0503116633966</v>
      </c>
      <c r="H73" s="12">
        <v>32.4</v>
      </c>
      <c r="I73" s="12">
        <f t="shared" si="13"/>
        <v>11826</v>
      </c>
      <c r="J73" s="13">
        <f t="shared" si="14"/>
        <v>627.78687152742202</v>
      </c>
      <c r="K73" s="13">
        <f t="shared" si="8"/>
        <v>229.14220810750908</v>
      </c>
      <c r="L73" s="14">
        <f t="shared" si="15"/>
        <v>5368.165074532747</v>
      </c>
      <c r="M73" s="14">
        <f t="shared" si="9"/>
        <v>1959.3802522044527</v>
      </c>
      <c r="N73" s="15">
        <f t="shared" si="16"/>
        <v>6215.770086301075</v>
      </c>
      <c r="O73" s="10">
        <f t="shared" si="10"/>
        <v>2268.7560814998924</v>
      </c>
      <c r="P73" s="46">
        <f t="shared" si="17"/>
        <v>6.7372394094791721</v>
      </c>
      <c r="Q73" s="17">
        <f>(I73*$C$36)/1000</f>
        <v>2459.0923844598979</v>
      </c>
      <c r="R73" s="18">
        <f t="shared" si="18"/>
        <v>57.609699942812426</v>
      </c>
      <c r="S73" s="19">
        <f>(F73*$C$36)/1000</f>
        <v>21027.540479126536</v>
      </c>
      <c r="T73" s="10">
        <f t="shared" si="19"/>
        <v>66.705968354835434</v>
      </c>
      <c r="U73" s="10">
        <f>(D73*$C$36)/1000</f>
        <v>24347.678449514933</v>
      </c>
      <c r="V73" s="3"/>
    </row>
    <row r="74" spans="1:22" x14ac:dyDescent="0.25">
      <c r="A74" s="4">
        <f t="shared" si="20"/>
        <v>2029</v>
      </c>
      <c r="B74" s="10">
        <f t="shared" si="5"/>
        <v>3489495.2093853978</v>
      </c>
      <c r="C74" s="11">
        <f t="shared" si="21"/>
        <v>0.88181818181818183</v>
      </c>
      <c r="D74" s="10">
        <f t="shared" si="6"/>
        <v>119215.11433344273</v>
      </c>
      <c r="E74" s="10">
        <f t="shared" si="11"/>
        <v>326.61675159847323</v>
      </c>
      <c r="F74" s="10">
        <f t="shared" si="7"/>
        <v>105126.05536676313</v>
      </c>
      <c r="G74" s="10">
        <f t="shared" si="12"/>
        <v>288.01659004592636</v>
      </c>
      <c r="H74" s="12">
        <v>32.4</v>
      </c>
      <c r="I74" s="12">
        <f t="shared" si="13"/>
        <v>11826</v>
      </c>
      <c r="J74" s="13">
        <f t="shared" si="14"/>
        <v>627.78687152742202</v>
      </c>
      <c r="K74" s="13">
        <f t="shared" si="8"/>
        <v>229.14220810750908</v>
      </c>
      <c r="L74" s="14">
        <f t="shared" si="15"/>
        <v>5580.6491979298826</v>
      </c>
      <c r="M74" s="14">
        <f t="shared" si="9"/>
        <v>2036.936957244407</v>
      </c>
      <c r="N74" s="15">
        <f t="shared" si="16"/>
        <v>6328.5712553844032</v>
      </c>
      <c r="O74" s="10">
        <f t="shared" si="10"/>
        <v>2309.9285082153074</v>
      </c>
      <c r="P74" s="46">
        <f t="shared" si="17"/>
        <v>6.7372394094791721</v>
      </c>
      <c r="Q74" s="17">
        <f>(I74*$C$36)/1000</f>
        <v>2459.0923844598979</v>
      </c>
      <c r="R74" s="18">
        <f t="shared" si="18"/>
        <v>59.890022254358705</v>
      </c>
      <c r="S74" s="19">
        <f>(F74*$C$36)/1000</f>
        <v>21859.858122840928</v>
      </c>
      <c r="T74" s="10">
        <f t="shared" si="19"/>
        <v>67.916520082262451</v>
      </c>
      <c r="U74" s="10">
        <f>(D74*$C$36)/1000</f>
        <v>24789.529830025793</v>
      </c>
      <c r="V74" s="3"/>
    </row>
    <row r="75" spans="1:22" x14ac:dyDescent="0.25">
      <c r="A75" s="4">
        <f t="shared" si="20"/>
        <v>2030</v>
      </c>
      <c r="B75" s="10">
        <f t="shared" si="5"/>
        <v>3552973.8214449119</v>
      </c>
      <c r="C75" s="11">
        <f t="shared" si="21"/>
        <v>0.9</v>
      </c>
      <c r="D75" s="10">
        <f t="shared" si="6"/>
        <v>121383.79763584398</v>
      </c>
      <c r="E75" s="10">
        <f t="shared" si="11"/>
        <v>332.55834968724378</v>
      </c>
      <c r="F75" s="10">
        <f t="shared" si="7"/>
        <v>109245.41787225958</v>
      </c>
      <c r="G75" s="10">
        <f t="shared" si="12"/>
        <v>299.30251471851938</v>
      </c>
      <c r="H75" s="12">
        <f>126.9+H69</f>
        <v>159.30000000000001</v>
      </c>
      <c r="I75" s="12">
        <f t="shared" si="13"/>
        <v>58144.500000000007</v>
      </c>
      <c r="J75" s="13">
        <f t="shared" si="14"/>
        <v>3086.6187850098258</v>
      </c>
      <c r="K75" s="13">
        <f t="shared" si="8"/>
        <v>1126.6158565285864</v>
      </c>
      <c r="L75" s="14">
        <f t="shared" si="15"/>
        <v>5799.3268319577001</v>
      </c>
      <c r="M75" s="14">
        <f t="shared" si="9"/>
        <v>2116.7542936645605</v>
      </c>
      <c r="N75" s="15">
        <f t="shared" si="16"/>
        <v>6443.6964799529997</v>
      </c>
      <c r="O75" s="10">
        <f t="shared" si="10"/>
        <v>2351.9492151828449</v>
      </c>
      <c r="P75" s="46">
        <f t="shared" si="17"/>
        <v>33.124760429939265</v>
      </c>
      <c r="Q75" s="17">
        <f>(I75*$C$36)/1000</f>
        <v>12090.537556927831</v>
      </c>
      <c r="R75" s="18">
        <f t="shared" si="18"/>
        <v>62.236811651784848</v>
      </c>
      <c r="S75" s="19">
        <f>(F75*$C$36)/1000</f>
        <v>22716.436252901469</v>
      </c>
      <c r="T75" s="10">
        <f t="shared" si="19"/>
        <v>69.152012946427604</v>
      </c>
      <c r="U75" s="10">
        <f>(D75*$C$36)/1000</f>
        <v>25240.484725446076</v>
      </c>
      <c r="V75" s="3"/>
    </row>
    <row r="76" spans="1:22" x14ac:dyDescent="0.25">
      <c r="A76" s="4">
        <f t="shared" si="20"/>
        <v>2031</v>
      </c>
      <c r="B76" s="10">
        <f t="shared" si="5"/>
        <v>3617764.5844641011</v>
      </c>
      <c r="C76" s="16">
        <f t="shared" si="21"/>
        <v>0.91818181818181821</v>
      </c>
      <c r="D76" s="10">
        <f t="shared" si="6"/>
        <v>123597.30926363154</v>
      </c>
      <c r="E76" s="10">
        <f t="shared" si="11"/>
        <v>338.62276510583985</v>
      </c>
      <c r="F76" s="10">
        <f t="shared" si="7"/>
        <v>113484.80214206169</v>
      </c>
      <c r="G76" s="10">
        <f t="shared" si="12"/>
        <v>310.91726614263473</v>
      </c>
      <c r="H76" s="12">
        <f t="shared" ref="H76:H80" si="22">126.9+H70</f>
        <v>159.30000000000001</v>
      </c>
      <c r="I76" s="12">
        <f t="shared" si="13"/>
        <v>58144.500000000007</v>
      </c>
      <c r="J76" s="13">
        <f t="shared" si="14"/>
        <v>3086.6187850098258</v>
      </c>
      <c r="K76" s="13">
        <f t="shared" si="8"/>
        <v>1126.6158565285864</v>
      </c>
      <c r="L76" s="14">
        <f t="shared" si="15"/>
        <v>6024.3758585044307</v>
      </c>
      <c r="M76" s="14">
        <f t="shared" si="9"/>
        <v>2198.8971883541171</v>
      </c>
      <c r="N76" s="15">
        <f t="shared" si="16"/>
        <v>6561.2014300543306</v>
      </c>
      <c r="O76" s="10">
        <f t="shared" si="10"/>
        <v>2394.8385219698307</v>
      </c>
      <c r="P76" s="46">
        <f t="shared" si="17"/>
        <v>33.124760429939265</v>
      </c>
      <c r="Q76" s="17">
        <f>(I76*$C$36)/1000</f>
        <v>12090.537556927831</v>
      </c>
      <c r="R76" s="18">
        <f t="shared" si="18"/>
        <v>64.651977115545776</v>
      </c>
      <c r="S76" s="19">
        <f>(F76*$C$36)/1000</f>
        <v>23597.97164717421</v>
      </c>
      <c r="T76" s="10">
        <f t="shared" si="19"/>
        <v>70.413044383267675</v>
      </c>
      <c r="U76" s="10">
        <f>(D76*$C$36)/1000</f>
        <v>25700.761199892702</v>
      </c>
      <c r="V76" s="3"/>
    </row>
    <row r="77" spans="1:22" x14ac:dyDescent="0.25">
      <c r="A77" s="4">
        <f t="shared" si="20"/>
        <v>2032</v>
      </c>
      <c r="B77" s="10">
        <f t="shared" si="5"/>
        <v>3683899.0358984265</v>
      </c>
      <c r="C77" s="16">
        <f t="shared" si="21"/>
        <v>0.9363636363636364</v>
      </c>
      <c r="D77" s="10">
        <f t="shared" si="6"/>
        <v>125856.72666243384</v>
      </c>
      <c r="E77" s="10">
        <f t="shared" si="11"/>
        <v>344.81294976009269</v>
      </c>
      <c r="F77" s="10">
        <f t="shared" si="7"/>
        <v>117847.66223846078</v>
      </c>
      <c r="G77" s="10">
        <f t="shared" si="12"/>
        <v>322.87030750263227</v>
      </c>
      <c r="H77" s="12">
        <f t="shared" si="22"/>
        <v>159.30000000000001</v>
      </c>
      <c r="I77" s="12">
        <f t="shared" si="13"/>
        <v>58144.500000000007</v>
      </c>
      <c r="J77" s="13">
        <f t="shared" si="14"/>
        <v>3086.6187850098258</v>
      </c>
      <c r="K77" s="13">
        <f t="shared" si="8"/>
        <v>1126.6158565285864</v>
      </c>
      <c r="L77" s="14">
        <f t="shared" si="15"/>
        <v>6255.979637536243</v>
      </c>
      <c r="M77" s="14">
        <f t="shared" si="9"/>
        <v>2283.4325677007287</v>
      </c>
      <c r="N77" s="15">
        <f t="shared" si="16"/>
        <v>6681.1433022231713</v>
      </c>
      <c r="O77" s="10">
        <f t="shared" si="10"/>
        <v>2438.6173053114576</v>
      </c>
      <c r="P77" s="46">
        <f t="shared" si="17"/>
        <v>33.124760429939265</v>
      </c>
      <c r="Q77" s="17">
        <f>(I77*$C$36)/1000</f>
        <v>12090.537556927831</v>
      </c>
      <c r="R77" s="18">
        <f t="shared" si="18"/>
        <v>67.137486415351631</v>
      </c>
      <c r="S77" s="19">
        <f>(F77*$C$36)/1000</f>
        <v>24505.182541603346</v>
      </c>
      <c r="T77" s="10">
        <f t="shared" si="19"/>
        <v>71.700228210569705</v>
      </c>
      <c r="U77" s="10">
        <f>(D77*$C$36)/1000</f>
        <v>26170.583296857942</v>
      </c>
      <c r="V77" s="3"/>
    </row>
    <row r="78" spans="1:22" x14ac:dyDescent="0.25">
      <c r="A78" s="4">
        <f t="shared" si="20"/>
        <v>2033</v>
      </c>
      <c r="B78" s="10">
        <f t="shared" si="5"/>
        <v>3751409.580237803</v>
      </c>
      <c r="C78" s="16">
        <f t="shared" si="21"/>
        <v>0.95454545454545459</v>
      </c>
      <c r="D78" s="10">
        <f t="shared" si="6"/>
        <v>128163.15689924432</v>
      </c>
      <c r="E78" s="10">
        <f t="shared" si="11"/>
        <v>351.1319367102584</v>
      </c>
      <c r="F78" s="10">
        <f t="shared" si="7"/>
        <v>122337.55885836958</v>
      </c>
      <c r="G78" s="10">
        <f t="shared" si="12"/>
        <v>335.17139413251937</v>
      </c>
      <c r="H78" s="12">
        <f t="shared" si="22"/>
        <v>159.30000000000001</v>
      </c>
      <c r="I78" s="12">
        <f t="shared" si="13"/>
        <v>58144.500000000007</v>
      </c>
      <c r="J78" s="13">
        <f t="shared" si="14"/>
        <v>3086.6187850098258</v>
      </c>
      <c r="K78" s="13">
        <f t="shared" si="8"/>
        <v>1126.6158565285864</v>
      </c>
      <c r="L78" s="14">
        <f t="shared" si="15"/>
        <v>6494.3271897512004</v>
      </c>
      <c r="M78" s="14">
        <f t="shared" si="9"/>
        <v>2370.4294242591882</v>
      </c>
      <c r="N78" s="15">
        <f t="shared" si="16"/>
        <v>6803.5808654536395</v>
      </c>
      <c r="O78" s="10">
        <f t="shared" si="10"/>
        <v>2483.3070158905784</v>
      </c>
      <c r="P78" s="46">
        <f t="shared" si="17"/>
        <v>33.124760429939265</v>
      </c>
      <c r="Q78" s="17">
        <f>(I78*$C$36)/1000</f>
        <v>12090.537556927831</v>
      </c>
      <c r="R78" s="18">
        <f t="shared" si="18"/>
        <v>69.695368070360672</v>
      </c>
      <c r="S78" s="19">
        <f>(F78*$C$36)/1000</f>
        <v>25438.809345681646</v>
      </c>
      <c r="T78" s="10">
        <f t="shared" si="19"/>
        <v>73.014195121330232</v>
      </c>
      <c r="U78" s="10">
        <f>(D78*$C$36)/1000</f>
        <v>26650.181219285532</v>
      </c>
      <c r="V78" s="3"/>
    </row>
    <row r="79" spans="1:22" x14ac:dyDescent="0.25">
      <c r="A79" s="4">
        <f t="shared" si="20"/>
        <v>2034</v>
      </c>
      <c r="B79" s="10">
        <f t="shared" si="5"/>
        <v>3820329.5151606873</v>
      </c>
      <c r="C79" s="16">
        <f t="shared" si="21"/>
        <v>0.97272727272727277</v>
      </c>
      <c r="D79" s="10">
        <f t="shared" si="6"/>
        <v>167330.43276403809</v>
      </c>
      <c r="E79" s="10">
        <f t="shared" si="11"/>
        <v>458.43954181928245</v>
      </c>
      <c r="F79" s="10">
        <f t="shared" si="7"/>
        <v>162766.87550683707</v>
      </c>
      <c r="G79" s="10">
        <f t="shared" si="12"/>
        <v>445.93664522421113</v>
      </c>
      <c r="H79" s="12">
        <f t="shared" si="22"/>
        <v>159.30000000000001</v>
      </c>
      <c r="I79" s="12">
        <f t="shared" si="13"/>
        <v>58144.500000000007</v>
      </c>
      <c r="J79" s="13">
        <f t="shared" si="14"/>
        <v>3086.6187850098258</v>
      </c>
      <c r="K79" s="13">
        <f t="shared" si="8"/>
        <v>1126.6158565285864</v>
      </c>
      <c r="L79" s="14">
        <f t="shared" si="15"/>
        <v>8640.5299816278239</v>
      </c>
      <c r="M79" s="14">
        <f t="shared" si="9"/>
        <v>3153.7934432941556</v>
      </c>
      <c r="N79" s="15">
        <f t="shared" si="16"/>
        <v>8882.7878315800044</v>
      </c>
      <c r="O79" s="10">
        <f t="shared" si="10"/>
        <v>3242.2175585267014</v>
      </c>
      <c r="P79" s="46">
        <f t="shared" si="17"/>
        <v>33.124760429939265</v>
      </c>
      <c r="Q79" s="17">
        <f>(I79*$C$36)/1000</f>
        <v>12090.537556927831</v>
      </c>
      <c r="R79" s="18">
        <f t="shared" si="18"/>
        <v>92.727837664675533</v>
      </c>
      <c r="S79" s="19">
        <f>(F79*$C$36)/1000</f>
        <v>33845.660747606569</v>
      </c>
      <c r="T79" s="10">
        <f t="shared" si="19"/>
        <v>95.327683580507554</v>
      </c>
      <c r="U79" s="10">
        <f>(D79*$C$36)/1000</f>
        <v>34794.604506885255</v>
      </c>
      <c r="V79" s="3"/>
    </row>
    <row r="80" spans="1:22" x14ac:dyDescent="0.25">
      <c r="A80" s="4">
        <f t="shared" si="20"/>
        <v>2035</v>
      </c>
      <c r="B80" s="10">
        <f t="shared" si="5"/>
        <v>3890693.0585201886</v>
      </c>
      <c r="C80" s="16">
        <f t="shared" si="21"/>
        <v>0.99090909090909096</v>
      </c>
      <c r="D80" s="10">
        <f t="shared" si="6"/>
        <v>170412.35596318427</v>
      </c>
      <c r="E80" s="10">
        <f t="shared" si="11"/>
        <v>466.88316702242264</v>
      </c>
      <c r="F80" s="10">
        <f t="shared" si="7"/>
        <v>168863.15272715534</v>
      </c>
      <c r="G80" s="10">
        <f t="shared" si="12"/>
        <v>462.63877459494614</v>
      </c>
      <c r="H80" s="12">
        <f t="shared" si="22"/>
        <v>159.30000000000001</v>
      </c>
      <c r="I80" s="12">
        <f t="shared" si="13"/>
        <v>58144.500000000007</v>
      </c>
      <c r="J80" s="13">
        <f t="shared" si="14"/>
        <v>3086.6187850098258</v>
      </c>
      <c r="K80" s="13">
        <f t="shared" si="8"/>
        <v>1126.6158565285864</v>
      </c>
      <c r="L80" s="14">
        <f t="shared" si="15"/>
        <v>8964.1527453778217</v>
      </c>
      <c r="M80" s="14">
        <f t="shared" si="9"/>
        <v>3271.9157520629051</v>
      </c>
      <c r="N80" s="15">
        <f t="shared" si="16"/>
        <v>9046.392678821654</v>
      </c>
      <c r="O80" s="10">
        <f t="shared" si="10"/>
        <v>3301.9333277699038</v>
      </c>
      <c r="P80" s="46">
        <f t="shared" si="17"/>
        <v>33.124760429939265</v>
      </c>
      <c r="Q80" s="17">
        <f>(I80*$C$36)/1000</f>
        <v>12090.537556927831</v>
      </c>
      <c r="R80" s="18">
        <f t="shared" si="18"/>
        <v>96.200869893648857</v>
      </c>
      <c r="S80" s="19">
        <f>(F80*$C$36)/1000</f>
        <v>35113.317511181835</v>
      </c>
      <c r="T80" s="10">
        <f t="shared" si="19"/>
        <v>97.083446681663958</v>
      </c>
      <c r="U80" s="10">
        <f>(D80*$C$36)/1000</f>
        <v>35435.458038807345</v>
      </c>
      <c r="V80" s="3"/>
    </row>
    <row r="81" spans="1:22" x14ac:dyDescent="0.25">
      <c r="A81" s="4">
        <f>A80+1</f>
        <v>2036</v>
      </c>
      <c r="B81" s="10">
        <f t="shared" si="5"/>
        <v>3962535.3761893865</v>
      </c>
      <c r="C81" s="16">
        <f t="shared" si="21"/>
        <v>1</v>
      </c>
      <c r="D81" s="10">
        <f t="shared" si="6"/>
        <v>173559.04947709516</v>
      </c>
      <c r="E81" s="10">
        <f t="shared" si="11"/>
        <v>475.50424514272646</v>
      </c>
      <c r="F81" s="10">
        <f t="shared" si="7"/>
        <v>173559.04947709516</v>
      </c>
      <c r="G81" s="10">
        <f t="shared" si="12"/>
        <v>475.50424514272646</v>
      </c>
      <c r="H81" s="12">
        <f>H80</f>
        <v>159.30000000000001</v>
      </c>
      <c r="I81" s="12">
        <f t="shared" si="13"/>
        <v>58144.500000000007</v>
      </c>
      <c r="J81" s="13">
        <f t="shared" si="14"/>
        <v>3086.6187850098258</v>
      </c>
      <c r="K81" s="13">
        <f t="shared" si="8"/>
        <v>1126.6158565285864</v>
      </c>
      <c r="L81" s="14">
        <f t="shared" si="15"/>
        <v>9213.435878276563</v>
      </c>
      <c r="M81" s="14">
        <f t="shared" si="9"/>
        <v>3362.9040955709456</v>
      </c>
      <c r="N81" s="15">
        <f t="shared" si="16"/>
        <v>9213.435878276563</v>
      </c>
      <c r="O81" s="10">
        <f t="shared" si="10"/>
        <v>3362.9040955709456</v>
      </c>
      <c r="P81" s="46">
        <f t="shared" si="17"/>
        <v>33.124760429939265</v>
      </c>
      <c r="Q81" s="17">
        <f>(I81*$C$36)/1000</f>
        <v>12090.537556927831</v>
      </c>
      <c r="R81" s="18">
        <f t="shared" si="18"/>
        <v>98.876109251550062</v>
      </c>
      <c r="S81" s="19">
        <f>(F81*$C$36)/1000</f>
        <v>36089.779876815774</v>
      </c>
      <c r="T81" s="10">
        <f t="shared" si="19"/>
        <v>98.876109251550062</v>
      </c>
      <c r="U81" s="10">
        <f>(D81*$C$36)/1000</f>
        <v>36089.779876815774</v>
      </c>
      <c r="V81" s="3"/>
    </row>
    <row r="82" spans="1:22" x14ac:dyDescent="0.25">
      <c r="A82" s="4">
        <f t="shared" ref="A82:A88" si="23">A81+1</f>
        <v>2037</v>
      </c>
      <c r="B82" s="10">
        <f t="shared" si="5"/>
        <v>4035892.6107939677</v>
      </c>
      <c r="C82" s="16">
        <f t="shared" si="21"/>
        <v>1</v>
      </c>
      <c r="D82" s="10">
        <f t="shared" si="6"/>
        <v>176772.09635277581</v>
      </c>
      <c r="E82" s="10">
        <f>D82/365</f>
        <v>484.30711329527622</v>
      </c>
      <c r="F82" s="10">
        <f t="shared" si="7"/>
        <v>176772.09635277581</v>
      </c>
      <c r="G82" s="10">
        <f t="shared" si="12"/>
        <v>484.30711329527622</v>
      </c>
      <c r="H82" s="12">
        <f t="shared" ref="H82:H89" si="24">H81</f>
        <v>159.30000000000001</v>
      </c>
      <c r="I82" s="12">
        <f t="shared" si="13"/>
        <v>58144.500000000007</v>
      </c>
      <c r="J82" s="13">
        <f t="shared" si="14"/>
        <v>3086.6187850098258</v>
      </c>
      <c r="K82" s="13">
        <f t="shared" si="8"/>
        <v>1126.6158565285864</v>
      </c>
      <c r="L82" s="14">
        <f t="shared" si="15"/>
        <v>9384.0014664851315</v>
      </c>
      <c r="M82" s="14">
        <f t="shared" si="9"/>
        <v>3425.1605352670726</v>
      </c>
      <c r="N82" s="15">
        <f t="shared" si="16"/>
        <v>9384.0014664851315</v>
      </c>
      <c r="O82" s="10">
        <f t="shared" si="10"/>
        <v>3425.1605352670726</v>
      </c>
      <c r="P82" s="46">
        <f t="shared" si="17"/>
        <v>33.124760429939265</v>
      </c>
      <c r="Q82" s="17">
        <f>(I82*$C$36)/1000</f>
        <v>12090.537556927831</v>
      </c>
      <c r="R82" s="18">
        <f t="shared" si="18"/>
        <v>100.70657314765522</v>
      </c>
      <c r="S82" s="19">
        <f>(F82*$C$36)/1000</f>
        <v>36757.899198894156</v>
      </c>
      <c r="T82" s="10">
        <f t="shared" si="19"/>
        <v>100.70657314765522</v>
      </c>
      <c r="U82" s="10">
        <f>(D82*$C$36)/1000</f>
        <v>36757.899198894156</v>
      </c>
      <c r="V82" s="3"/>
    </row>
    <row r="83" spans="1:22" x14ac:dyDescent="0.25">
      <c r="A83" s="4">
        <f t="shared" si="23"/>
        <v>2038</v>
      </c>
      <c r="B83" s="10">
        <f t="shared" si="5"/>
        <v>4110801.91136121</v>
      </c>
      <c r="C83" s="16">
        <f t="shared" si="21"/>
        <v>1</v>
      </c>
      <c r="D83" s="10">
        <f t="shared" si="6"/>
        <v>180053.12371762103</v>
      </c>
      <c r="E83" s="10">
        <f t="shared" si="11"/>
        <v>493.29622936334528</v>
      </c>
      <c r="F83" s="10">
        <f t="shared" si="7"/>
        <v>180053.12371762103</v>
      </c>
      <c r="G83" s="10">
        <f t="shared" si="12"/>
        <v>493.29622936334528</v>
      </c>
      <c r="H83" s="12">
        <f t="shared" si="24"/>
        <v>159.30000000000001</v>
      </c>
      <c r="I83" s="12">
        <f t="shared" si="13"/>
        <v>58144.500000000007</v>
      </c>
      <c r="J83" s="13">
        <f t="shared" si="14"/>
        <v>3086.6187850098258</v>
      </c>
      <c r="K83" s="13">
        <f t="shared" si="8"/>
        <v>1126.6158565285864</v>
      </c>
      <c r="L83" s="14">
        <f t="shared" si="15"/>
        <v>9558.1758200088952</v>
      </c>
      <c r="M83" s="14">
        <f t="shared" si="9"/>
        <v>3488.7341743032466</v>
      </c>
      <c r="N83" s="15">
        <f t="shared" si="16"/>
        <v>9558.1758200088952</v>
      </c>
      <c r="O83" s="10">
        <f t="shared" si="10"/>
        <v>3488.7341743032466</v>
      </c>
      <c r="P83" s="46">
        <f t="shared" si="17"/>
        <v>33.124760429939265</v>
      </c>
      <c r="Q83" s="17">
        <f>(I83*$C$36)/1000</f>
        <v>12090.537556927831</v>
      </c>
      <c r="R83" s="18">
        <f t="shared" si="18"/>
        <v>102.57576533994464</v>
      </c>
      <c r="S83" s="19">
        <f>(F83*$C$36)/1000</f>
        <v>37440.154349079792</v>
      </c>
      <c r="T83" s="10">
        <f t="shared" si="19"/>
        <v>102.57576533994464</v>
      </c>
      <c r="U83" s="10">
        <f>(D83*$C$36)/1000</f>
        <v>37440.154349079792</v>
      </c>
      <c r="V83" s="3"/>
    </row>
    <row r="84" spans="1:22" x14ac:dyDescent="0.25">
      <c r="A84" s="4">
        <f t="shared" si="23"/>
        <v>2039</v>
      </c>
      <c r="B84" s="10">
        <f t="shared" si="5"/>
        <v>4187301.4639152912</v>
      </c>
      <c r="C84" s="16">
        <f t="shared" si="21"/>
        <v>1</v>
      </c>
      <c r="D84" s="10">
        <f t="shared" si="6"/>
        <v>183403.80411948977</v>
      </c>
      <c r="E84" s="10">
        <f t="shared" si="11"/>
        <v>502.47617566983496</v>
      </c>
      <c r="F84" s="10">
        <f t="shared" si="7"/>
        <v>183403.80411948977</v>
      </c>
      <c r="G84" s="10">
        <f t="shared" si="12"/>
        <v>502.47617566983496</v>
      </c>
      <c r="H84" s="12">
        <f t="shared" si="24"/>
        <v>159.30000000000001</v>
      </c>
      <c r="I84" s="12">
        <f t="shared" si="13"/>
        <v>58144.500000000007</v>
      </c>
      <c r="J84" s="13">
        <f t="shared" si="14"/>
        <v>3086.6187850098258</v>
      </c>
      <c r="K84" s="13">
        <f t="shared" si="8"/>
        <v>1126.6158565285864</v>
      </c>
      <c r="L84" s="14">
        <f t="shared" si="15"/>
        <v>9736.0477265687987</v>
      </c>
      <c r="M84" s="14">
        <f t="shared" si="9"/>
        <v>3553.6574201976114</v>
      </c>
      <c r="N84" s="15">
        <f t="shared" si="16"/>
        <v>9736.0477265687987</v>
      </c>
      <c r="O84" s="10">
        <f t="shared" si="10"/>
        <v>3553.6574201976114</v>
      </c>
      <c r="P84" s="46">
        <f t="shared" si="17"/>
        <v>33.124760429939265</v>
      </c>
      <c r="Q84" s="17">
        <f>(I84*$C$36)/1000</f>
        <v>12090.537556927831</v>
      </c>
      <c r="R84" s="18">
        <f t="shared" si="18"/>
        <v>104.48463867429604</v>
      </c>
      <c r="S84" s="19">
        <f>(F84*$C$36)/1000</f>
        <v>38136.893116118052</v>
      </c>
      <c r="T84" s="10">
        <f t="shared" si="19"/>
        <v>104.48463867429604</v>
      </c>
      <c r="U84" s="10">
        <f>(D84*$C$36)/1000</f>
        <v>38136.893116118052</v>
      </c>
      <c r="V84" s="3"/>
    </row>
    <row r="85" spans="1:22" x14ac:dyDescent="0.25">
      <c r="A85" s="4">
        <f t="shared" si="23"/>
        <v>2040</v>
      </c>
      <c r="B85" s="10">
        <f t="shared" si="5"/>
        <v>4265430.523049931</v>
      </c>
      <c r="C85" s="16">
        <f t="shared" si="21"/>
        <v>1</v>
      </c>
      <c r="D85" s="10">
        <f t="shared" si="6"/>
        <v>186825.85690958696</v>
      </c>
      <c r="E85" s="10">
        <f t="shared" si="11"/>
        <v>511.85166276599165</v>
      </c>
      <c r="F85" s="10">
        <f t="shared" si="7"/>
        <v>186825.85690958696</v>
      </c>
      <c r="G85" s="10">
        <f t="shared" si="12"/>
        <v>511.85166276599165</v>
      </c>
      <c r="H85" s="12">
        <f t="shared" si="24"/>
        <v>159.30000000000001</v>
      </c>
      <c r="I85" s="12">
        <f t="shared" si="13"/>
        <v>58144.500000000007</v>
      </c>
      <c r="J85" s="13">
        <f t="shared" si="14"/>
        <v>3086.6187850098258</v>
      </c>
      <c r="K85" s="13">
        <f t="shared" si="8"/>
        <v>1126.6158565285864</v>
      </c>
      <c r="L85" s="14">
        <f t="shared" si="15"/>
        <v>9917.7084584558943</v>
      </c>
      <c r="M85" s="14">
        <f t="shared" si="9"/>
        <v>3619.9635873364014</v>
      </c>
      <c r="N85" s="15">
        <f t="shared" si="16"/>
        <v>9917.7084584558943</v>
      </c>
      <c r="O85" s="10">
        <f t="shared" si="10"/>
        <v>3619.9635873364014</v>
      </c>
      <c r="P85" s="46">
        <f t="shared" si="17"/>
        <v>33.124760429939265</v>
      </c>
      <c r="Q85" s="17">
        <f>(I85*$C$36)/1000</f>
        <v>12090.537556927831</v>
      </c>
      <c r="R85" s="18">
        <f t="shared" si="18"/>
        <v>106.4341726603235</v>
      </c>
      <c r="S85" s="19">
        <f>(F85*$C$36)/1000</f>
        <v>38848.473021018079</v>
      </c>
      <c r="T85" s="10">
        <f t="shared" si="19"/>
        <v>106.4341726603235</v>
      </c>
      <c r="U85" s="10">
        <f>(D85*$C$36)/1000</f>
        <v>38848.473021018079</v>
      </c>
      <c r="V85" s="3"/>
    </row>
    <row r="86" spans="1:22" x14ac:dyDescent="0.25">
      <c r="A86" s="4">
        <f t="shared" si="23"/>
        <v>2041</v>
      </c>
      <c r="B86" s="10">
        <f t="shared" si="5"/>
        <v>4345229.4445103658</v>
      </c>
      <c r="C86" s="16">
        <f t="shared" si="21"/>
        <v>1</v>
      </c>
      <c r="D86" s="10">
        <f t="shared" si="6"/>
        <v>190321.04966955405</v>
      </c>
      <c r="E86" s="10">
        <f t="shared" si="11"/>
        <v>521.42753334124393</v>
      </c>
      <c r="F86" s="10">
        <f t="shared" si="7"/>
        <v>190321.04966955405</v>
      </c>
      <c r="G86" s="10">
        <f t="shared" si="12"/>
        <v>521.42753334124393</v>
      </c>
      <c r="H86" s="12">
        <f t="shared" si="24"/>
        <v>159.30000000000001</v>
      </c>
      <c r="I86" s="12">
        <f t="shared" si="13"/>
        <v>58144.500000000007</v>
      </c>
      <c r="J86" s="13">
        <f t="shared" si="14"/>
        <v>3086.6187850098258</v>
      </c>
      <c r="K86" s="13">
        <f t="shared" si="8"/>
        <v>1126.6158565285864</v>
      </c>
      <c r="L86" s="14">
        <f t="shared" si="15"/>
        <v>10103.251848288894</v>
      </c>
      <c r="M86" s="14">
        <f t="shared" si="9"/>
        <v>3687.686924625446</v>
      </c>
      <c r="N86" s="15">
        <f t="shared" si="16"/>
        <v>10103.251848288894</v>
      </c>
      <c r="O86" s="10">
        <f t="shared" si="10"/>
        <v>3687.686924625446</v>
      </c>
      <c r="P86" s="46">
        <f t="shared" si="17"/>
        <v>33.124760429939265</v>
      </c>
      <c r="Q86" s="17">
        <f>(I86*$C$36)/1000</f>
        <v>12090.537556927831</v>
      </c>
      <c r="R86" s="18">
        <f t="shared" si="18"/>
        <v>108.42537428438715</v>
      </c>
      <c r="S86" s="19">
        <f>(F86*$C$36)/1000</f>
        <v>39575.261613801311</v>
      </c>
      <c r="T86" s="10">
        <f t="shared" si="19"/>
        <v>108.42537428438715</v>
      </c>
      <c r="U86" s="10">
        <f>(D86*$C$36)/1000</f>
        <v>39575.261613801311</v>
      </c>
      <c r="V86" s="3"/>
    </row>
    <row r="87" spans="1:22" x14ac:dyDescent="0.25">
      <c r="A87" s="4">
        <f t="shared" si="23"/>
        <v>2042</v>
      </c>
      <c r="B87" s="10">
        <f t="shared" si="5"/>
        <v>4426739.7188177211</v>
      </c>
      <c r="C87" s="16">
        <f t="shared" si="21"/>
        <v>1</v>
      </c>
      <c r="D87" s="10">
        <f t="shared" si="6"/>
        <v>193891.19968421618</v>
      </c>
      <c r="E87" s="10">
        <f t="shared" si="11"/>
        <v>531.2087662581265</v>
      </c>
      <c r="F87" s="10">
        <f t="shared" si="7"/>
        <v>193891.19968421618</v>
      </c>
      <c r="G87" s="10">
        <f t="shared" si="12"/>
        <v>531.2087662581265</v>
      </c>
      <c r="H87" s="12">
        <f t="shared" si="24"/>
        <v>159.30000000000001</v>
      </c>
      <c r="I87" s="12">
        <f t="shared" si="13"/>
        <v>58144.500000000007</v>
      </c>
      <c r="J87" s="13">
        <f t="shared" si="14"/>
        <v>3086.6187850098258</v>
      </c>
      <c r="K87" s="13">
        <f t="shared" si="8"/>
        <v>1126.6158565285864</v>
      </c>
      <c r="L87" s="14">
        <f t="shared" si="15"/>
        <v>10292.774367195398</v>
      </c>
      <c r="M87" s="14">
        <f t="shared" si="9"/>
        <v>3756.8626440263201</v>
      </c>
      <c r="N87" s="15">
        <f t="shared" si="16"/>
        <v>10292.774367195398</v>
      </c>
      <c r="O87" s="10">
        <f t="shared" si="10"/>
        <v>3756.8626440263201</v>
      </c>
      <c r="P87" s="46">
        <f t="shared" si="17"/>
        <v>33.124760429939265</v>
      </c>
      <c r="Q87" s="17">
        <f>(I87*$C$36)/1000</f>
        <v>12090.537556927831</v>
      </c>
      <c r="R87" s="18">
        <f t="shared" si="18"/>
        <v>110.45927884861297</v>
      </c>
      <c r="S87" s="19">
        <f>(F87*$C$36)/1000</f>
        <v>40317.636779743734</v>
      </c>
      <c r="T87" s="10">
        <f t="shared" si="19"/>
        <v>110.45927884861297</v>
      </c>
      <c r="U87" s="10">
        <f>(D87*$C$36)/1000</f>
        <v>40317.636779743734</v>
      </c>
      <c r="V87" s="3"/>
    </row>
    <row r="88" spans="1:22" x14ac:dyDescent="0.25">
      <c r="A88" s="4">
        <f t="shared" si="23"/>
        <v>2043</v>
      </c>
      <c r="B88" s="10">
        <f t="shared" si="5"/>
        <v>4510004.0059699845</v>
      </c>
      <c r="C88" s="16">
        <f t="shared" si="21"/>
        <v>1</v>
      </c>
      <c r="D88" s="10">
        <f t="shared" si="6"/>
        <v>197538.17546148534</v>
      </c>
      <c r="E88" s="10">
        <f t="shared" si="11"/>
        <v>541.20048071639815</v>
      </c>
      <c r="F88" s="10">
        <f t="shared" si="7"/>
        <v>197538.17546148534</v>
      </c>
      <c r="G88" s="10">
        <f t="shared" si="12"/>
        <v>541.20048071639815</v>
      </c>
      <c r="H88" s="47">
        <f t="shared" si="24"/>
        <v>159.30000000000001</v>
      </c>
      <c r="I88" s="12">
        <f t="shared" si="13"/>
        <v>58144.500000000007</v>
      </c>
      <c r="J88" s="13">
        <f t="shared" si="14"/>
        <v>3086.6187850098258</v>
      </c>
      <c r="K88" s="13">
        <f t="shared" si="8"/>
        <v>1126.6158565285864</v>
      </c>
      <c r="L88" s="14">
        <f t="shared" si="15"/>
        <v>10486.375205496437</v>
      </c>
      <c r="M88" s="14">
        <f t="shared" si="9"/>
        <v>3827.5269500061995</v>
      </c>
      <c r="N88" s="15">
        <f t="shared" si="16"/>
        <v>10486.375205496437</v>
      </c>
      <c r="O88" s="10">
        <f t="shared" si="10"/>
        <v>3827.5269500061995</v>
      </c>
      <c r="P88" s="46">
        <f t="shared" si="17"/>
        <v>33.124760429939265</v>
      </c>
      <c r="Q88" s="17">
        <f>(I88*$C$36)/1000</f>
        <v>12090.537556927831</v>
      </c>
      <c r="R88" s="18">
        <f t="shared" si="18"/>
        <v>112.53695083677748</v>
      </c>
      <c r="S88" s="19">
        <f>(F88*$C$36)/1000</f>
        <v>41075.987055423779</v>
      </c>
      <c r="T88" s="10">
        <f t="shared" si="19"/>
        <v>112.53695083677748</v>
      </c>
      <c r="U88" s="10">
        <f>(D88*$C$36)/1000</f>
        <v>41075.987055423779</v>
      </c>
      <c r="V88" s="3"/>
    </row>
    <row r="89" spans="1:22" x14ac:dyDescent="0.25">
      <c r="A89" s="4">
        <f>A88+1</f>
        <v>2044</v>
      </c>
      <c r="B89" s="10">
        <f t="shared" si="5"/>
        <v>4595066.1712548416</v>
      </c>
      <c r="C89" s="16">
        <f t="shared" si="21"/>
        <v>1</v>
      </c>
      <c r="D89" s="10">
        <f t="shared" si="6"/>
        <v>201263.89830096206</v>
      </c>
      <c r="E89" s="10">
        <f t="shared" si="11"/>
        <v>551.40794055058097</v>
      </c>
      <c r="F89" s="48">
        <f t="shared" si="7"/>
        <v>201263.89830096206</v>
      </c>
      <c r="G89" s="10">
        <f t="shared" si="12"/>
        <v>551.40794055058097</v>
      </c>
      <c r="H89" s="12">
        <f t="shared" si="24"/>
        <v>159.30000000000001</v>
      </c>
      <c r="I89" s="12">
        <f t="shared" si="13"/>
        <v>58144.500000000007</v>
      </c>
      <c r="J89" s="13">
        <f t="shared" si="14"/>
        <v>3086.6187850098258</v>
      </c>
      <c r="K89" s="13">
        <f t="shared" si="8"/>
        <v>1126.6158565285864</v>
      </c>
      <c r="L89" s="14">
        <f t="shared" si="15"/>
        <v>10684.156355976173</v>
      </c>
      <c r="M89" s="14">
        <f t="shared" si="9"/>
        <v>3899.7170699313028</v>
      </c>
      <c r="N89" s="15">
        <f t="shared" si="16"/>
        <v>10684.156355976173</v>
      </c>
      <c r="O89" s="10">
        <f t="shared" si="10"/>
        <v>3899.7170699313028</v>
      </c>
      <c r="P89" s="46">
        <f t="shared" si="17"/>
        <v>33.124760429939265</v>
      </c>
      <c r="Q89" s="17">
        <f>(I89*$C$36)/1000</f>
        <v>12090.537556927831</v>
      </c>
      <c r="R89" s="18">
        <f t="shared" si="18"/>
        <v>114.6594848079359</v>
      </c>
      <c r="S89" s="19">
        <f>(F89*$C$36)/1000</f>
        <v>41850.7119548966</v>
      </c>
      <c r="T89" s="10">
        <f t="shared" si="19"/>
        <v>114.6594848079359</v>
      </c>
      <c r="U89" s="10">
        <f>(D89*$C$36)/1000</f>
        <v>41850.7119548966</v>
      </c>
      <c r="V89" s="3"/>
    </row>
    <row r="90" spans="1:22" x14ac:dyDescent="0.25">
      <c r="I90" s="49"/>
      <c r="N90" s="49"/>
      <c r="O90" s="49"/>
    </row>
  </sheetData>
  <mergeCells count="14">
    <mergeCell ref="A1:F1"/>
    <mergeCell ref="A38:A39"/>
    <mergeCell ref="B38:D38"/>
    <mergeCell ref="A67:A68"/>
    <mergeCell ref="H67:H68"/>
    <mergeCell ref="F67:F68"/>
    <mergeCell ref="D67:D68"/>
    <mergeCell ref="C67:C68"/>
    <mergeCell ref="B67:B68"/>
    <mergeCell ref="F5:H5"/>
    <mergeCell ref="E67:E68"/>
    <mergeCell ref="G67:G68"/>
    <mergeCell ref="J67:O67"/>
    <mergeCell ref="P67:U67"/>
  </mergeCells>
  <pageMargins left="0.7" right="0.7" top="0.75" bottom="0.75" header="0.3" footer="0.3"/>
  <ignoredErrors>
    <ignoredError sqref="K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Ayush Nath Ghimire</dc:creator>
  <cp:lastModifiedBy>Ayush Nath Ghimire</cp:lastModifiedBy>
  <dcterms:created xsi:type="dcterms:W3CDTF">2024-01-14T00:20:00Z</dcterms:created>
  <dcterms:modified xsi:type="dcterms:W3CDTF">2024-01-25T11:43:04Z</dcterms:modified>
</cp:coreProperties>
</file>