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an\Documents\MASTER\FMH606 Master's Thesis\"/>
    </mc:Choice>
  </mc:AlternateContent>
  <xr:revisionPtr revIDLastSave="0" documentId="13_ncr:1_{D68B8181-B3EA-4A7C-8123-14AF8A1D0D41}" xr6:coauthVersionLast="47" xr6:coauthVersionMax="47" xr10:uidLastSave="{00000000-0000-0000-0000-000000000000}"/>
  <bookViews>
    <workbookView xWindow="390" yWindow="390" windowWidth="38700" windowHeight="15435" activeTab="1" xr2:uid="{7F049A62-2228-4D50-AE2D-5B553D3C86BA}"/>
  </bookViews>
  <sheets>
    <sheet name="Heat" sheetId="1" r:id="rId1"/>
    <sheet name="Friction" sheetId="2" r:id="rId2"/>
    <sheet name="Minor loss" sheetId="3" r:id="rId3"/>
    <sheet name="lea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2" l="1"/>
  <c r="N12" i="1"/>
  <c r="O14" i="2"/>
  <c r="N34" i="2"/>
  <c r="M12" i="2"/>
  <c r="L12" i="2"/>
  <c r="B12" i="4"/>
  <c r="B11" i="4"/>
  <c r="B9" i="4"/>
  <c r="B8" i="4"/>
  <c r="B6" i="4"/>
  <c r="B10" i="3"/>
  <c r="B9" i="3"/>
  <c r="B12" i="2"/>
  <c r="B14" i="2" s="1"/>
  <c r="B13" i="2"/>
  <c r="B24" i="1"/>
  <c r="B25" i="1" s="1"/>
  <c r="B32" i="1" s="1"/>
  <c r="B39" i="1" s="1"/>
  <c r="B44" i="1" s="1"/>
  <c r="B46" i="1" s="1"/>
  <c r="B49" i="1" s="1"/>
  <c r="B36" i="1"/>
  <c r="B35" i="1"/>
  <c r="L10" i="1"/>
  <c r="K10" i="1"/>
  <c r="B11" i="1"/>
  <c r="B13" i="1" s="1"/>
  <c r="B8" i="1"/>
  <c r="B20" i="2" l="1"/>
  <c r="B21" i="2" s="1"/>
  <c r="N10" i="1"/>
  <c r="P10" i="1" s="1"/>
  <c r="N14" i="1"/>
  <c r="P14" i="1" s="1"/>
  <c r="O12" i="2"/>
  <c r="P12" i="2" s="1"/>
</calcChain>
</file>

<file path=xl/sharedStrings.xml><?xml version="1.0" encoding="utf-8"?>
<sst xmlns="http://schemas.openxmlformats.org/spreadsheetml/2006/main" count="128" uniqueCount="94">
  <si>
    <t>b</t>
  </si>
  <si>
    <t>T_new = (p_new*(1-(b*rho_new)))/(R * rho_new)</t>
  </si>
  <si>
    <t>rho new</t>
  </si>
  <si>
    <t>p_new</t>
  </si>
  <si>
    <t>p_old</t>
  </si>
  <si>
    <t>T_n_calc</t>
  </si>
  <si>
    <t>R</t>
  </si>
  <si>
    <t>Delta_T</t>
  </si>
  <si>
    <t>Tstart</t>
  </si>
  <si>
    <t>T1</t>
  </si>
  <si>
    <t>T2</t>
  </si>
  <si>
    <t>Tcomp</t>
  </si>
  <si>
    <t>k1</t>
  </si>
  <si>
    <t>k2</t>
  </si>
  <si>
    <t xml:space="preserve">Pressure </t>
  </si>
  <si>
    <t>1 bar</t>
  </si>
  <si>
    <t>k</t>
  </si>
  <si>
    <t xml:space="preserve"> 10 bar</t>
  </si>
  <si>
    <t>8 bar</t>
  </si>
  <si>
    <t>U</t>
  </si>
  <si>
    <t>k_pipe</t>
  </si>
  <si>
    <t>h_air</t>
  </si>
  <si>
    <t>r1</t>
  </si>
  <si>
    <t>r2</t>
  </si>
  <si>
    <t>h_h2</t>
  </si>
  <si>
    <t>kh2</t>
  </si>
  <si>
    <t>Cp</t>
  </si>
  <si>
    <t xml:space="preserve">L = </t>
  </si>
  <si>
    <t>Mu</t>
  </si>
  <si>
    <t>Re</t>
  </si>
  <si>
    <t>heat loss</t>
  </si>
  <si>
    <t>q (flux)</t>
  </si>
  <si>
    <t>4q/D =</t>
  </si>
  <si>
    <t>Churchill</t>
  </si>
  <si>
    <t>ed</t>
  </si>
  <si>
    <t>f</t>
  </si>
  <si>
    <t>Ac</t>
  </si>
  <si>
    <t>Bc</t>
  </si>
  <si>
    <t>f_calc</t>
  </si>
  <si>
    <t>pressure drop = f*rho*u^2*L/D*2</t>
  </si>
  <si>
    <t>P</t>
  </si>
  <si>
    <t>rho</t>
  </si>
  <si>
    <t>u</t>
  </si>
  <si>
    <t>Pressure drop:</t>
  </si>
  <si>
    <t>L</t>
  </si>
  <si>
    <t>D</t>
  </si>
  <si>
    <t>pa</t>
  </si>
  <si>
    <t>bar</t>
  </si>
  <si>
    <t>Friction work = 2*f*rho*u^3/D</t>
  </si>
  <si>
    <t>K</t>
  </si>
  <si>
    <t>N_bend</t>
  </si>
  <si>
    <t>Minor losses = kt * rho * u**2 / 2</t>
  </si>
  <si>
    <t xml:space="preserve">Minor losses per bend = </t>
  </si>
  <si>
    <t>Total</t>
  </si>
  <si>
    <t>c</t>
  </si>
  <si>
    <t xml:space="preserve">gamma </t>
  </si>
  <si>
    <t>Do</t>
  </si>
  <si>
    <t>Ao</t>
  </si>
  <si>
    <t>u_l</t>
  </si>
  <si>
    <t>rho_l</t>
  </si>
  <si>
    <t>mass_leak</t>
  </si>
  <si>
    <t>Linear interpolation thermal conductivity</t>
  </si>
  <si>
    <t>kg/s</t>
  </si>
  <si>
    <t>g/s</t>
  </si>
  <si>
    <t>m/s</t>
  </si>
  <si>
    <t>kg/m3</t>
  </si>
  <si>
    <t>m2</t>
  </si>
  <si>
    <t>m</t>
  </si>
  <si>
    <t>Mu1</t>
  </si>
  <si>
    <t>Mu2</t>
  </si>
  <si>
    <t>Mu_sim</t>
  </si>
  <si>
    <t>k_sim</t>
  </si>
  <si>
    <t>Difference</t>
  </si>
  <si>
    <t>mW/mK</t>
  </si>
  <si>
    <t>W/mK</t>
  </si>
  <si>
    <t>Simulated</t>
  </si>
  <si>
    <t>W</t>
  </si>
  <si>
    <t>W/m2</t>
  </si>
  <si>
    <t>Pa</t>
  </si>
  <si>
    <t>From simulation</t>
  </si>
  <si>
    <t>Calculated</t>
  </si>
  <si>
    <t>Minor loss hand calculation</t>
  </si>
  <si>
    <t>Parameters</t>
  </si>
  <si>
    <t>Calculation</t>
  </si>
  <si>
    <t>Simulation</t>
  </si>
  <si>
    <t>Isentropic relations with the assumption of a sonic flow is assumed for the hand calculations.</t>
  </si>
  <si>
    <t>Dittus-Boelter</t>
  </si>
  <si>
    <t>Prandtl number</t>
  </si>
  <si>
    <t>Friction term in the energy balance</t>
  </si>
  <si>
    <t>Linear interpolation between the trendlines for the viscosity</t>
  </si>
  <si>
    <t>p_drop due to friction</t>
  </si>
  <si>
    <t>Computed friction from simulations, validated with Moody chart</t>
  </si>
  <si>
    <t>Model</t>
  </si>
  <si>
    <t>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</si>
</sst>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11</xdr:col>
      <xdr:colOff>333375</xdr:colOff>
      <xdr:row>19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1EE076-430A-B69C-7EB8-D6D5AD6D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57500"/>
          <a:ext cx="21621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</xdr:row>
      <xdr:rowOff>104775</xdr:rowOff>
    </xdr:from>
    <xdr:to>
      <xdr:col>17</xdr:col>
      <xdr:colOff>514350</xdr:colOff>
      <xdr:row>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34AB1C-3B86-8AAD-5740-5F538989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866775"/>
          <a:ext cx="5972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590550</xdr:colOff>
      <xdr:row>8</xdr:row>
      <xdr:rowOff>104775</xdr:rowOff>
    </xdr:from>
    <xdr:to>
      <xdr:col>17</xdr:col>
      <xdr:colOff>466725</xdr:colOff>
      <xdr:row>11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B35A5B-ADDB-B518-DA14-E8A84646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628775"/>
          <a:ext cx="59721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EAE8-6D14-4147-9B65-7350787C5A23}">
  <dimension ref="A1:Q49"/>
  <sheetViews>
    <sheetView topLeftCell="A28" workbookViewId="0">
      <selection activeCell="B11" sqref="B11"/>
    </sheetView>
  </sheetViews>
  <sheetFormatPr defaultRowHeight="15" x14ac:dyDescent="0.25"/>
  <cols>
    <col min="1" max="1" width="20.5703125" bestFit="1" customWidth="1"/>
    <col min="2" max="2" width="17.42578125" customWidth="1"/>
  </cols>
  <sheetData>
    <row r="1" spans="1:17" x14ac:dyDescent="0.25">
      <c r="A1" s="8" t="s">
        <v>79</v>
      </c>
      <c r="B1" s="8"/>
    </row>
    <row r="2" spans="1:17" x14ac:dyDescent="0.25">
      <c r="A2" t="s">
        <v>8</v>
      </c>
      <c r="B2">
        <v>293.14999999999998</v>
      </c>
      <c r="J2" t="s">
        <v>61</v>
      </c>
    </row>
    <row r="3" spans="1:17" x14ac:dyDescent="0.25">
      <c r="A3" t="s">
        <v>4</v>
      </c>
      <c r="B3">
        <v>1000000</v>
      </c>
      <c r="J3" t="s">
        <v>14</v>
      </c>
      <c r="K3" t="s">
        <v>15</v>
      </c>
      <c r="L3" t="s">
        <v>17</v>
      </c>
      <c r="N3" t="s">
        <v>18</v>
      </c>
    </row>
    <row r="4" spans="1:17" x14ac:dyDescent="0.25">
      <c r="A4" t="s">
        <v>0</v>
      </c>
      <c r="B4" s="1">
        <v>7.6909999999999999E-3</v>
      </c>
      <c r="J4" t="s">
        <v>9</v>
      </c>
      <c r="K4">
        <v>273.14999999999998</v>
      </c>
      <c r="L4">
        <v>273.14999999999998</v>
      </c>
    </row>
    <row r="5" spans="1:17" x14ac:dyDescent="0.25">
      <c r="A5" t="s">
        <v>6</v>
      </c>
      <c r="B5">
        <v>4124.2</v>
      </c>
      <c r="J5" t="s">
        <v>10</v>
      </c>
      <c r="K5">
        <v>298.14999999999998</v>
      </c>
      <c r="L5">
        <v>298.14999999999998</v>
      </c>
    </row>
    <row r="6" spans="1:17" x14ac:dyDescent="0.25">
      <c r="A6" t="s">
        <v>2</v>
      </c>
      <c r="B6">
        <v>0.79344999999999999</v>
      </c>
      <c r="J6" t="s">
        <v>11</v>
      </c>
      <c r="K6">
        <v>286</v>
      </c>
      <c r="L6">
        <v>286</v>
      </c>
    </row>
    <row r="7" spans="1:17" x14ac:dyDescent="0.25">
      <c r="A7" t="s">
        <v>3</v>
      </c>
      <c r="B7">
        <v>942031.31845473999</v>
      </c>
      <c r="J7" t="s">
        <v>12</v>
      </c>
      <c r="K7">
        <v>172.58</v>
      </c>
      <c r="L7">
        <v>173.39</v>
      </c>
    </row>
    <row r="8" spans="1:17" x14ac:dyDescent="0.25">
      <c r="A8" t="s">
        <v>90</v>
      </c>
      <c r="B8">
        <f>B3-B7</f>
        <v>57968.681545260013</v>
      </c>
      <c r="J8" t="s">
        <v>13</v>
      </c>
      <c r="K8">
        <v>184.88</v>
      </c>
      <c r="L8">
        <v>185.63</v>
      </c>
    </row>
    <row r="10" spans="1:17" x14ac:dyDescent="0.25">
      <c r="A10" s="8" t="s">
        <v>80</v>
      </c>
      <c r="B10" s="8"/>
      <c r="J10" t="s">
        <v>16</v>
      </c>
      <c r="K10">
        <f>(((K8-K7)/(K5-K4))*(K6-K4))+K7</f>
        <v>178.90220000000002</v>
      </c>
      <c r="L10">
        <f>(((L8-L7)/(L5-L4))*(L6-L4))+L7</f>
        <v>179.68136000000001</v>
      </c>
      <c r="N10">
        <f>(((L10-K10)/(10-1))*(8-1))+K10</f>
        <v>179.50821333333334</v>
      </c>
      <c r="O10" t="s">
        <v>73</v>
      </c>
      <c r="P10">
        <f>N10/1000</f>
        <v>0.17950821333333333</v>
      </c>
      <c r="Q10" t="s">
        <v>74</v>
      </c>
    </row>
    <row r="11" spans="1:17" x14ac:dyDescent="0.25">
      <c r="A11" t="s">
        <v>5</v>
      </c>
      <c r="B11" s="2">
        <f>(B7*(1-(B4*B6)))/(B5*B6)</f>
        <v>286.11965353807989</v>
      </c>
      <c r="C11" t="s">
        <v>49</v>
      </c>
      <c r="D11" t="s">
        <v>1</v>
      </c>
    </row>
    <row r="12" spans="1:17" x14ac:dyDescent="0.25">
      <c r="J12" t="s">
        <v>71</v>
      </c>
      <c r="N12">
        <f>P12*1000</f>
        <v>180.07000000000002</v>
      </c>
      <c r="O12" t="s">
        <v>73</v>
      </c>
      <c r="P12">
        <v>0.18007000000000001</v>
      </c>
      <c r="Q12" t="s">
        <v>74</v>
      </c>
    </row>
    <row r="13" spans="1:17" x14ac:dyDescent="0.25">
      <c r="A13" t="s">
        <v>7</v>
      </c>
      <c r="B13">
        <f>B2-B11</f>
        <v>7.0303464619200895</v>
      </c>
      <c r="C13" t="s">
        <v>49</v>
      </c>
    </row>
    <row r="14" spans="1:17" x14ac:dyDescent="0.25">
      <c r="J14" t="s">
        <v>72</v>
      </c>
      <c r="N14">
        <f>N12-N10</f>
        <v>0.56178666666667709</v>
      </c>
      <c r="O14" t="s">
        <v>73</v>
      </c>
      <c r="P14">
        <f>N14/1000</f>
        <v>5.6178666666667704E-4</v>
      </c>
      <c r="Q14" t="s">
        <v>74</v>
      </c>
    </row>
    <row r="17" spans="1:2" x14ac:dyDescent="0.25">
      <c r="A17" s="8" t="s">
        <v>79</v>
      </c>
      <c r="B17" s="8"/>
    </row>
    <row r="18" spans="1:2" x14ac:dyDescent="0.25">
      <c r="A18" t="s">
        <v>29</v>
      </c>
      <c r="B18">
        <v>24893.9281021719</v>
      </c>
    </row>
    <row r="19" spans="1:2" x14ac:dyDescent="0.25">
      <c r="A19" t="s">
        <v>25</v>
      </c>
      <c r="B19">
        <v>0.1774</v>
      </c>
    </row>
    <row r="20" spans="1:2" x14ac:dyDescent="0.25">
      <c r="A20" t="s">
        <v>26</v>
      </c>
      <c r="B20">
        <v>1.44E-2</v>
      </c>
    </row>
    <row r="21" spans="1:2" x14ac:dyDescent="0.25">
      <c r="A21" t="s">
        <v>27</v>
      </c>
      <c r="B21">
        <v>45</v>
      </c>
    </row>
    <row r="22" spans="1:2" ht="13.5" customHeight="1" x14ac:dyDescent="0.25">
      <c r="A22" t="s">
        <v>28</v>
      </c>
      <c r="B22" s="1">
        <v>8.5987745863714702E-6</v>
      </c>
    </row>
    <row r="23" spans="1:2" ht="13.5" customHeight="1" x14ac:dyDescent="0.25">
      <c r="A23" s="8" t="s">
        <v>80</v>
      </c>
      <c r="B23" s="8"/>
    </row>
    <row r="24" spans="1:2" x14ac:dyDescent="0.25">
      <c r="A24" t="s">
        <v>87</v>
      </c>
      <c r="B24" s="1">
        <f>B22*B20/B19</f>
        <v>6.9798395740557596E-7</v>
      </c>
    </row>
    <row r="25" spans="1:2" x14ac:dyDescent="0.25">
      <c r="A25" t="s">
        <v>86</v>
      </c>
      <c r="B25" s="1">
        <f>0.023*(B18^0.8)*(B24^0.3)</f>
        <v>1.0758611198446995</v>
      </c>
    </row>
    <row r="32" spans="1:2" x14ac:dyDescent="0.25">
      <c r="A32" t="s">
        <v>24</v>
      </c>
      <c r="B32" s="1">
        <f>B25*B19/B21</f>
        <v>4.2412836146766596E-3</v>
      </c>
    </row>
    <row r="33" spans="1:3" x14ac:dyDescent="0.25">
      <c r="A33" t="s">
        <v>20</v>
      </c>
      <c r="B33">
        <v>45</v>
      </c>
    </row>
    <row r="34" spans="1:3" x14ac:dyDescent="0.25">
      <c r="A34" t="s">
        <v>21</v>
      </c>
      <c r="B34">
        <v>50</v>
      </c>
    </row>
    <row r="35" spans="1:3" x14ac:dyDescent="0.25">
      <c r="A35" t="s">
        <v>22</v>
      </c>
      <c r="B35">
        <f>0.009/2</f>
        <v>4.4999999999999997E-3</v>
      </c>
    </row>
    <row r="36" spans="1:3" x14ac:dyDescent="0.25">
      <c r="A36" t="s">
        <v>23</v>
      </c>
      <c r="B36">
        <f>0.012/2</f>
        <v>6.0000000000000001E-3</v>
      </c>
    </row>
    <row r="39" spans="1:3" x14ac:dyDescent="0.25">
      <c r="A39" t="s">
        <v>19</v>
      </c>
      <c r="B39" s="3">
        <f>1/((1/B32)+((B35/B33)*LN(B36/B35))+((B35/B36)*(1/B34)))</f>
        <v>4.241013287110666E-3</v>
      </c>
    </row>
    <row r="43" spans="1:3" x14ac:dyDescent="0.25">
      <c r="A43" t="s">
        <v>30</v>
      </c>
    </row>
    <row r="44" spans="1:3" x14ac:dyDescent="0.25">
      <c r="A44" t="s">
        <v>31</v>
      </c>
      <c r="B44" s="4">
        <f>(B39*7)</f>
        <v>2.9687093009774661E-2</v>
      </c>
      <c r="C44" t="s">
        <v>77</v>
      </c>
    </row>
    <row r="46" spans="1:3" x14ac:dyDescent="0.25">
      <c r="A46" t="s">
        <v>32</v>
      </c>
      <c r="B46">
        <f>B44*4/(B35*2)</f>
        <v>13.19426355989985</v>
      </c>
      <c r="C46" t="s">
        <v>76</v>
      </c>
    </row>
    <row r="47" spans="1:3" x14ac:dyDescent="0.25">
      <c r="A47" t="s">
        <v>75</v>
      </c>
      <c r="B47">
        <v>12.83</v>
      </c>
      <c r="C47" t="s">
        <v>76</v>
      </c>
    </row>
    <row r="49" spans="1:3" x14ac:dyDescent="0.25">
      <c r="A49" t="s">
        <v>72</v>
      </c>
      <c r="B49">
        <f>B46-B47</f>
        <v>0.36426355989985026</v>
      </c>
      <c r="C49" t="s">
        <v>76</v>
      </c>
    </row>
  </sheetData>
  <mergeCells count="4">
    <mergeCell ref="A1:B1"/>
    <mergeCell ref="A10:B10"/>
    <mergeCell ref="A23:B23"/>
    <mergeCell ref="A17:B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F9A3-2D26-4CB7-BC2B-1182DB5DBAB6}">
  <dimension ref="A1:P34"/>
  <sheetViews>
    <sheetView tabSelected="1" workbookViewId="0">
      <selection activeCell="C25" sqref="C25"/>
    </sheetView>
  </sheetViews>
  <sheetFormatPr defaultRowHeight="15" x14ac:dyDescent="0.25"/>
  <cols>
    <col min="1" max="1" width="30.7109375" bestFit="1" customWidth="1"/>
    <col min="2" max="2" width="12" bestFit="1" customWidth="1"/>
    <col min="16" max="16" width="12" bestFit="1" customWidth="1"/>
  </cols>
  <sheetData>
    <row r="1" spans="1:16" x14ac:dyDescent="0.25">
      <c r="K1" s="10" t="s">
        <v>89</v>
      </c>
      <c r="L1" s="10"/>
      <c r="M1" s="10"/>
      <c r="N1" s="10"/>
      <c r="O1" s="10"/>
      <c r="P1" s="10"/>
    </row>
    <row r="2" spans="1:16" x14ac:dyDescent="0.25">
      <c r="A2" s="5" t="s">
        <v>33</v>
      </c>
      <c r="B2" s="5"/>
      <c r="K2" t="s">
        <v>14</v>
      </c>
      <c r="L2" t="s">
        <v>15</v>
      </c>
      <c r="M2" t="s">
        <v>17</v>
      </c>
      <c r="O2" t="s">
        <v>18</v>
      </c>
    </row>
    <row r="3" spans="1:16" x14ac:dyDescent="0.25">
      <c r="A3" t="s">
        <v>34</v>
      </c>
      <c r="B3">
        <v>2.7777777777777701E-3</v>
      </c>
      <c r="K3" t="s">
        <v>9</v>
      </c>
      <c r="L3">
        <v>273.14999999999998</v>
      </c>
      <c r="M3">
        <v>273.14999999999998</v>
      </c>
    </row>
    <row r="4" spans="1:16" x14ac:dyDescent="0.25">
      <c r="A4" t="s">
        <v>29</v>
      </c>
      <c r="B4">
        <v>24893.946051016199</v>
      </c>
      <c r="E4" s="9" t="s">
        <v>91</v>
      </c>
      <c r="F4" s="9"/>
      <c r="G4" s="9"/>
      <c r="H4" s="9"/>
      <c r="I4" s="9"/>
      <c r="J4" s="9"/>
      <c r="K4" t="s">
        <v>10</v>
      </c>
      <c r="L4">
        <v>298.14999999999998</v>
      </c>
      <c r="M4">
        <v>298.14999999999998</v>
      </c>
    </row>
    <row r="5" spans="1:16" x14ac:dyDescent="0.25">
      <c r="A5" t="s">
        <v>28</v>
      </c>
      <c r="B5" s="1">
        <v>8.5987713217996705E-6</v>
      </c>
      <c r="E5" s="9"/>
      <c r="F5" s="9"/>
      <c r="G5" s="9"/>
      <c r="H5" s="9"/>
      <c r="I5" s="9"/>
      <c r="J5" s="9"/>
      <c r="K5" t="s">
        <v>11</v>
      </c>
      <c r="L5">
        <v>286</v>
      </c>
      <c r="M5">
        <v>286</v>
      </c>
    </row>
    <row r="6" spans="1:16" x14ac:dyDescent="0.25">
      <c r="A6" t="s">
        <v>40</v>
      </c>
      <c r="B6">
        <v>100000</v>
      </c>
      <c r="E6" s="7" t="s">
        <v>35</v>
      </c>
      <c r="F6">
        <v>3.0599999999999999E-2</v>
      </c>
      <c r="K6" t="s">
        <v>68</v>
      </c>
      <c r="L6">
        <v>8.3969000000000005</v>
      </c>
      <c r="M6">
        <v>8.4205000000000005</v>
      </c>
    </row>
    <row r="7" spans="1:16" x14ac:dyDescent="0.25">
      <c r="A7" t="s">
        <v>41</v>
      </c>
      <c r="B7">
        <v>0.82199999999999995</v>
      </c>
      <c r="K7" t="s">
        <v>69</v>
      </c>
      <c r="L7">
        <v>8.9153000000000002</v>
      </c>
      <c r="M7">
        <v>8.9368999999999996</v>
      </c>
    </row>
    <row r="8" spans="1:16" x14ac:dyDescent="0.25">
      <c r="A8" t="s">
        <v>42</v>
      </c>
      <c r="B8">
        <v>30</v>
      </c>
    </row>
    <row r="9" spans="1:16" x14ac:dyDescent="0.25">
      <c r="A9" t="s">
        <v>44</v>
      </c>
      <c r="B9">
        <v>45</v>
      </c>
    </row>
    <row r="10" spans="1:16" x14ac:dyDescent="0.25">
      <c r="A10" t="s">
        <v>45</v>
      </c>
      <c r="B10">
        <v>8.9999999999999993E-3</v>
      </c>
    </row>
    <row r="11" spans="1:16" x14ac:dyDescent="0.25">
      <c r="A11" s="8" t="s">
        <v>80</v>
      </c>
      <c r="B11" s="8"/>
    </row>
    <row r="12" spans="1:16" x14ac:dyDescent="0.25">
      <c r="A12" t="s">
        <v>36</v>
      </c>
      <c r="B12">
        <f>(2.457*LN((1/((B3*0.27)+(7/B4)^0.9))))^16</f>
        <v>2.1816391777537389E+19</v>
      </c>
      <c r="K12" s="7" t="s">
        <v>28</v>
      </c>
      <c r="L12">
        <f>(((L7-L6)/(L4-L3))*(L5-L3))+L6</f>
        <v>8.6633576000000012</v>
      </c>
      <c r="M12">
        <f>(((M7-M6)/(M4-M3))*(M5-M3))+M6</f>
        <v>8.6859295999999997</v>
      </c>
      <c r="O12">
        <f>(((M12-L12)/(10-1))*(8-1))+L12</f>
        <v>8.6809136000000002</v>
      </c>
      <c r="P12">
        <f>O12/10^6</f>
        <v>8.6809136000000004E-6</v>
      </c>
    </row>
    <row r="13" spans="1:16" x14ac:dyDescent="0.25">
      <c r="A13" t="s">
        <v>37</v>
      </c>
      <c r="B13">
        <f>(37530/B4)^16</f>
        <v>712.12646533846134</v>
      </c>
      <c r="K13" s="7"/>
    </row>
    <row r="14" spans="1:16" x14ac:dyDescent="0.25">
      <c r="A14" s="7" t="s">
        <v>38</v>
      </c>
      <c r="B14">
        <f>8*(((8/B4)^12 + (B12+B13)^-1.5))^(1/12)</f>
        <v>3.0601458186279209E-2</v>
      </c>
      <c r="K14" s="7" t="s">
        <v>70</v>
      </c>
      <c r="O14">
        <f>P14*10^6</f>
        <v>8.69</v>
      </c>
      <c r="P14">
        <v>8.6899999999999998E-6</v>
      </c>
    </row>
    <row r="18" spans="1:3" x14ac:dyDescent="0.25">
      <c r="A18" t="s">
        <v>39</v>
      </c>
    </row>
    <row r="20" spans="1:3" x14ac:dyDescent="0.25">
      <c r="A20" t="s">
        <v>43</v>
      </c>
      <c r="B20">
        <f>(B9*B14*B7*B8^2)/(2*B10)</f>
        <v>56597.396915523408</v>
      </c>
      <c r="C20" t="s">
        <v>46</v>
      </c>
    </row>
    <row r="21" spans="1:3" x14ac:dyDescent="0.25">
      <c r="A21" t="s">
        <v>43</v>
      </c>
      <c r="B21">
        <f>B20/10^5</f>
        <v>0.56597396915523412</v>
      </c>
      <c r="C21" t="s">
        <v>47</v>
      </c>
    </row>
    <row r="22" spans="1:3" x14ac:dyDescent="0.25">
      <c r="A22" s="8" t="s">
        <v>88</v>
      </c>
      <c r="B22" s="8"/>
    </row>
    <row r="23" spans="1:3" x14ac:dyDescent="0.25">
      <c r="A23" t="s">
        <v>48</v>
      </c>
      <c r="B23">
        <v>150919.19999999899</v>
      </c>
      <c r="C23" t="s">
        <v>92</v>
      </c>
    </row>
    <row r="24" spans="1:3" x14ac:dyDescent="0.25">
      <c r="A24" t="s">
        <v>48</v>
      </c>
      <c r="B24">
        <f>(2*B14*B7*B8^3)/B10</f>
        <v>150926.39177472907</v>
      </c>
      <c r="C24" t="s">
        <v>93</v>
      </c>
    </row>
    <row r="34" spans="14:14" x14ac:dyDescent="0.25">
      <c r="N34">
        <f>8</f>
        <v>8</v>
      </c>
    </row>
  </sheetData>
  <mergeCells count="4">
    <mergeCell ref="A11:B11"/>
    <mergeCell ref="A22:B22"/>
    <mergeCell ref="E4:J5"/>
    <mergeCell ref="K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8FA3-7163-45B6-A809-750993E2AB0B}">
  <dimension ref="A1:C12"/>
  <sheetViews>
    <sheetView workbookViewId="0">
      <selection activeCell="A19" sqref="A19"/>
    </sheetView>
  </sheetViews>
  <sheetFormatPr defaultRowHeight="15" x14ac:dyDescent="0.25"/>
  <cols>
    <col min="1" max="1" width="30" bestFit="1" customWidth="1"/>
  </cols>
  <sheetData>
    <row r="1" spans="1:3" x14ac:dyDescent="0.25">
      <c r="A1" s="8" t="s">
        <v>81</v>
      </c>
      <c r="B1" s="8"/>
    </row>
    <row r="2" spans="1:3" x14ac:dyDescent="0.25">
      <c r="A2" s="8" t="s">
        <v>82</v>
      </c>
      <c r="B2" s="8"/>
    </row>
    <row r="3" spans="1:3" x14ac:dyDescent="0.25">
      <c r="A3" t="s">
        <v>42</v>
      </c>
      <c r="B3">
        <v>30</v>
      </c>
    </row>
    <row r="4" spans="1:3" x14ac:dyDescent="0.25">
      <c r="A4" t="s">
        <v>41</v>
      </c>
      <c r="B4">
        <v>0.82199999999999995</v>
      </c>
    </row>
    <row r="5" spans="1:3" x14ac:dyDescent="0.25">
      <c r="A5" t="s">
        <v>49</v>
      </c>
      <c r="B5">
        <v>0.3</v>
      </c>
    </row>
    <row r="6" spans="1:3" x14ac:dyDescent="0.25">
      <c r="A6" t="s">
        <v>50</v>
      </c>
      <c r="B6">
        <v>20</v>
      </c>
    </row>
    <row r="7" spans="1:3" x14ac:dyDescent="0.25">
      <c r="A7" s="8" t="s">
        <v>83</v>
      </c>
      <c r="B7" s="8"/>
    </row>
    <row r="8" spans="1:3" x14ac:dyDescent="0.25">
      <c r="A8" t="s">
        <v>51</v>
      </c>
    </row>
    <row r="9" spans="1:3" x14ac:dyDescent="0.25">
      <c r="A9" t="s">
        <v>52</v>
      </c>
      <c r="B9">
        <f>(B5*B4*B3^2)/2</f>
        <v>110.97</v>
      </c>
      <c r="C9" t="s">
        <v>78</v>
      </c>
    </row>
    <row r="10" spans="1:3" x14ac:dyDescent="0.25">
      <c r="A10" s="7" t="s">
        <v>53</v>
      </c>
      <c r="B10">
        <f>(B5*20*B4*B3^2)/2</f>
        <v>2219.3999999999996</v>
      </c>
      <c r="C10" t="s">
        <v>78</v>
      </c>
    </row>
    <row r="12" spans="1:3" x14ac:dyDescent="0.25">
      <c r="A12" s="7" t="s">
        <v>84</v>
      </c>
      <c r="B12" s="6">
        <v>2286</v>
      </c>
      <c r="C12" t="s">
        <v>78</v>
      </c>
    </row>
  </sheetData>
  <mergeCells count="3">
    <mergeCell ref="A1:B1"/>
    <mergeCell ref="A2:B2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B88A-B233-4AC3-97FD-6BB7208F97FF}">
  <dimension ref="A1:Q14"/>
  <sheetViews>
    <sheetView workbookViewId="0">
      <selection activeCell="F17" sqref="F17"/>
    </sheetView>
  </sheetViews>
  <sheetFormatPr defaultRowHeight="15" x14ac:dyDescent="0.25"/>
  <cols>
    <col min="1" max="1" width="10.140625" bestFit="1" customWidth="1"/>
    <col min="2" max="2" width="12" bestFit="1" customWidth="1"/>
  </cols>
  <sheetData>
    <row r="1" spans="1:17" x14ac:dyDescent="0.25">
      <c r="J1" s="11" t="s">
        <v>85</v>
      </c>
      <c r="K1" s="11"/>
      <c r="L1" s="11"/>
      <c r="M1" s="11"/>
      <c r="N1" s="11"/>
      <c r="O1" s="11"/>
      <c r="P1" s="11"/>
      <c r="Q1" s="11"/>
    </row>
    <row r="2" spans="1:17" x14ac:dyDescent="0.25">
      <c r="A2" t="s">
        <v>54</v>
      </c>
      <c r="B2">
        <v>1313.8652027799999</v>
      </c>
      <c r="C2" t="s">
        <v>64</v>
      </c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t="s">
        <v>41</v>
      </c>
      <c r="B3">
        <v>0.82199999999999995</v>
      </c>
      <c r="C3" t="s">
        <v>65</v>
      </c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t="s">
        <v>55</v>
      </c>
      <c r="B4">
        <v>1.41</v>
      </c>
    </row>
    <row r="5" spans="1:17" x14ac:dyDescent="0.25">
      <c r="A5" t="s">
        <v>56</v>
      </c>
      <c r="B5">
        <v>1E-3</v>
      </c>
      <c r="C5" t="s">
        <v>67</v>
      </c>
    </row>
    <row r="6" spans="1:17" x14ac:dyDescent="0.25">
      <c r="A6" t="s">
        <v>57</v>
      </c>
      <c r="B6">
        <f>(PI()/4)*B5^2</f>
        <v>7.8539816339744823E-7</v>
      </c>
      <c r="C6" t="s">
        <v>66</v>
      </c>
    </row>
    <row r="8" spans="1:17" x14ac:dyDescent="0.25">
      <c r="A8" t="s">
        <v>58</v>
      </c>
      <c r="B8">
        <f>B2*SQRT(2/(B4+1))</f>
        <v>1196.8984021734757</v>
      </c>
      <c r="C8" t="s">
        <v>64</v>
      </c>
    </row>
    <row r="9" spans="1:17" x14ac:dyDescent="0.25">
      <c r="A9" t="s">
        <v>59</v>
      </c>
      <c r="B9">
        <f>B3*(2/(B4+1))^(1/(B4-1))</f>
        <v>0.52160582755043172</v>
      </c>
      <c r="C9" t="s">
        <v>65</v>
      </c>
    </row>
    <row r="11" spans="1:17" x14ac:dyDescent="0.25">
      <c r="A11" t="s">
        <v>60</v>
      </c>
      <c r="B11">
        <f>B8*B9*B6</f>
        <v>4.9033128458898366E-4</v>
      </c>
      <c r="C11" t="s">
        <v>62</v>
      </c>
    </row>
    <row r="12" spans="1:17" x14ac:dyDescent="0.25">
      <c r="A12" s="7" t="s">
        <v>60</v>
      </c>
      <c r="B12">
        <f>B11*1000</f>
        <v>0.49033128458898367</v>
      </c>
      <c r="C12" t="s">
        <v>63</v>
      </c>
    </row>
    <row r="13" spans="1:17" x14ac:dyDescent="0.25">
      <c r="A13" s="7"/>
    </row>
    <row r="14" spans="1:17" x14ac:dyDescent="0.25">
      <c r="A14" s="7" t="s">
        <v>75</v>
      </c>
      <c r="B14">
        <v>0.49</v>
      </c>
      <c r="C14" t="s">
        <v>63</v>
      </c>
    </row>
  </sheetData>
  <mergeCells count="1">
    <mergeCell ref="J1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Heat</vt:lpstr>
      <vt:lpstr>Friction</vt:lpstr>
      <vt:lpstr>Minor loss</vt:lpstr>
      <vt:lpstr>leak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 Valand</dc:creator>
  <cp:lastModifiedBy>Stian Valand</cp:lastModifiedBy>
  <dcterms:created xsi:type="dcterms:W3CDTF">2022-05-14T11:11:03Z</dcterms:created>
  <dcterms:modified xsi:type="dcterms:W3CDTF">2022-05-31T18:55:05Z</dcterms:modified>
</cp:coreProperties>
</file>