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7" sheetId="6" r:id="rId6"/>
    <sheet name="Ark9" sheetId="7" r:id="rId7"/>
    <sheet name="Ark8" sheetId="8" r:id="rId8"/>
    <sheet name="Ark6" sheetId="9" r:id="rId9"/>
    <sheet name="Ark10" sheetId="10" r:id="rId10"/>
    <sheet name="Ark11" sheetId="11" r:id="rId11"/>
  </sheets>
  <definedNames/>
  <calcPr fullCalcOnLoad="1"/>
</workbook>
</file>

<file path=xl/sharedStrings.xml><?xml version="1.0" encoding="utf-8"?>
<sst xmlns="http://schemas.openxmlformats.org/spreadsheetml/2006/main" count="432" uniqueCount="119">
  <si>
    <t>Test nr.</t>
  </si>
  <si>
    <t>Kons.nivå [kPa]</t>
  </si>
  <si>
    <t>Prøvevekt [g]</t>
  </si>
  <si>
    <t>Rel.fukt. [%]</t>
  </si>
  <si>
    <t>Kons.tid [s]</t>
  </si>
  <si>
    <t>Bruddstyrke [kPa]</t>
  </si>
  <si>
    <t>Middelverdi</t>
  </si>
  <si>
    <t>Standard avvik</t>
  </si>
  <si>
    <t>Referansekurveverdier for kalksteinpulver, stempelhastighet på 2,4mm/min</t>
  </si>
  <si>
    <t>Rep.</t>
  </si>
  <si>
    <t>Referansekurveverdier for kalksteinpulver, stempelhastighet på 8 mm/min</t>
  </si>
  <si>
    <t>Referansekurveverdier for industrisementpulver, stempelhastighet på 2,4 mm/min</t>
  </si>
  <si>
    <t>Syklus [kPa]</t>
  </si>
  <si>
    <t>Ant.sykl.</t>
  </si>
  <si>
    <t>Rel.fukt [%]</t>
  </si>
  <si>
    <t>Avvik fra ref. [%]</t>
  </si>
  <si>
    <t>Avvik fra ref.(,17)[%]</t>
  </si>
  <si>
    <t>Avvik fra fakt 0,3 [%]</t>
  </si>
  <si>
    <t>1b</t>
  </si>
  <si>
    <t>2b</t>
  </si>
  <si>
    <t>3b</t>
  </si>
  <si>
    <t>4b</t>
  </si>
  <si>
    <t>5b</t>
  </si>
  <si>
    <t>Avvik fra ref.(,17) [%]</t>
  </si>
  <si>
    <t>Syklisk konsolidering av kalksteinpulver, stempelhastighet på 8 mm/min</t>
  </si>
  <si>
    <t>Syklisk konsolidering av industrisementpulver, stempelhastighet på 2,4 mm/min</t>
  </si>
  <si>
    <t>Syklisk konsolidering av kalksteinpulver, stempelhastighet på 2,4 mm/min</t>
  </si>
  <si>
    <t>Stempelhast. 8 mm/min</t>
  </si>
  <si>
    <t>Stempelhast. 2,4 mm/min</t>
  </si>
  <si>
    <t>Sum st.a. [kPa]</t>
  </si>
  <si>
    <t>%-vis fordeling</t>
  </si>
  <si>
    <t>Sum standard avvik på bruddstyrke med kalksteinpulver</t>
  </si>
  <si>
    <t>Syklisk styrketest på kalksteinpulver, stempelhastighet på 2,4 mm/min</t>
  </si>
  <si>
    <t>Test.nr</t>
  </si>
  <si>
    <t>K.nivå [kPa]</t>
  </si>
  <si>
    <t>B.styrke ref. [kPa]</t>
  </si>
  <si>
    <t>Sykl.75%[kPa]</t>
  </si>
  <si>
    <t>P.vekt [g]</t>
  </si>
  <si>
    <t>R.fukt.[%]</t>
  </si>
  <si>
    <t>K.tid [s]</t>
  </si>
  <si>
    <t>B.styrke [kPa]</t>
  </si>
  <si>
    <t>Reel b.sykl. [kPa]</t>
  </si>
  <si>
    <t>Reel sykl. [%]</t>
  </si>
  <si>
    <t>Sykl.50%[kPa]</t>
  </si>
  <si>
    <t>Ref</t>
  </si>
  <si>
    <t>Sykl. 5kPa</t>
  </si>
  <si>
    <t>Sykl. 20kPa</t>
  </si>
  <si>
    <t>Sykl. 50kPa</t>
  </si>
  <si>
    <t>Standard avvik på konsolideringsprosessen for kalksteinpulveret</t>
  </si>
  <si>
    <t>Ref.</t>
  </si>
  <si>
    <t>Standard avvik på konsolideringsprosessen for industrisementpulveret</t>
  </si>
  <si>
    <t>Kons. [kPa]</t>
  </si>
  <si>
    <t>Pos. [mm]</t>
  </si>
  <si>
    <t>h [mm]</t>
  </si>
  <si>
    <t>d [mm]</t>
  </si>
  <si>
    <t>V.[m^3]</t>
  </si>
  <si>
    <t>Rho,b [kg/m^3]</t>
  </si>
  <si>
    <t>R.kons. [kPa]</t>
  </si>
  <si>
    <t>Syklisk kons. ved 5 kPa av kalksteinpulver, stempelhast. på 8 mm/min</t>
  </si>
  <si>
    <t>Syklisk kons. ved 20 kPa av kalksteinpulver, stempelhast. på 8 mm/min</t>
  </si>
  <si>
    <t>Syklisk kons. ved 50 kPa av kalksteinpulver, stempelhast. på 8 mm/min</t>
  </si>
  <si>
    <t>Referanseverdier for kalksteinpulver, stempelhastighet på 8 mm/min</t>
  </si>
  <si>
    <t>Referanseverdier for kalksteinpulver, stempelhastighet på 2,4 mm/min</t>
  </si>
  <si>
    <t>Syklisk kons. ved 5 kPa av kalksteinpulver, stempelhast. på 2,4 mm/min</t>
  </si>
  <si>
    <t>Syklisk kons. ved 20 kPa av kalksteinpulver, stempelhast. på 2,4 mm/min</t>
  </si>
  <si>
    <t>Syklisk kons. ved 50 kPa av kalksteinpulver, stempelhast. på 2,4 mm/min</t>
  </si>
  <si>
    <t>Referanseverdier for industrisementpulver, stempelhastighet på 2,4 mm/min</t>
  </si>
  <si>
    <t>Syklisk kons. ved 5 kPa av industrisementpulver, stempelhast. på 2,4 mm/min</t>
  </si>
  <si>
    <t>Syklisk kons. ved 20 kPa av industrisementpulver, stempelhast. på 2,4 mm/min</t>
  </si>
  <si>
    <t>Syklisk kons. ved 50 kPa av industrisementpulver, stempelhast. på 2,4 mm/min</t>
  </si>
  <si>
    <t>Prøvevektfordeling for kalksteinpulver</t>
  </si>
  <si>
    <t>Pr.v. område</t>
  </si>
  <si>
    <t>Antall [-]</t>
  </si>
  <si>
    <t>%-andel</t>
  </si>
  <si>
    <t>94-95</t>
  </si>
  <si>
    <t>96-97</t>
  </si>
  <si>
    <t>98-99</t>
  </si>
  <si>
    <t>100-101</t>
  </si>
  <si>
    <t>102-103</t>
  </si>
  <si>
    <t>104-105</t>
  </si>
  <si>
    <t>106-107</t>
  </si>
  <si>
    <t>108-109</t>
  </si>
  <si>
    <t>110-111</t>
  </si>
  <si>
    <t>112-113</t>
  </si>
  <si>
    <t>114-115</t>
  </si>
  <si>
    <t>116-117</t>
  </si>
  <si>
    <t>118-119</t>
  </si>
  <si>
    <t>Prøvevektfordeling for industrisementpulver</t>
  </si>
  <si>
    <t>105-107</t>
  </si>
  <si>
    <t>108-110</t>
  </si>
  <si>
    <t>111-113</t>
  </si>
  <si>
    <t>114-116</t>
  </si>
  <si>
    <t>117-119</t>
  </si>
  <si>
    <t>120-122</t>
  </si>
  <si>
    <t>123-125</t>
  </si>
  <si>
    <t>126-128</t>
  </si>
  <si>
    <t>129-131</t>
  </si>
  <si>
    <t>132-134</t>
  </si>
  <si>
    <t>135-137</t>
  </si>
  <si>
    <t>Relativ fuktighet i luften på lab. under forsøk</t>
  </si>
  <si>
    <t>R.fukt. område</t>
  </si>
  <si>
    <t>25-26</t>
  </si>
  <si>
    <t>27-28</t>
  </si>
  <si>
    <t>29-30</t>
  </si>
  <si>
    <t>31-32</t>
  </si>
  <si>
    <t>33-34</t>
  </si>
  <si>
    <t>35-36</t>
  </si>
  <si>
    <t>37-38</t>
  </si>
  <si>
    <t>39-40</t>
  </si>
  <si>
    <t>41-42</t>
  </si>
  <si>
    <t>43-44</t>
  </si>
  <si>
    <t>45-46</t>
  </si>
  <si>
    <t>47-48</t>
  </si>
  <si>
    <t>49-50</t>
  </si>
  <si>
    <t>51-52</t>
  </si>
  <si>
    <t>53-54</t>
  </si>
  <si>
    <t>55-56</t>
  </si>
  <si>
    <t>57-58</t>
  </si>
  <si>
    <t>59-60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</si>
</sst>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E31" sqref="E31"/>
    </sheetView>
  </sheetViews>
  <sheetFormatPr defaultColWidth="11.421875" defaultRowHeight="12.75"/>
  <cols>
    <col min="1" max="1" width="7.421875" style="0" customWidth="1"/>
    <col min="2" max="2" width="14.7109375" style="0" customWidth="1"/>
    <col min="3" max="3" width="4.7109375" style="0" customWidth="1"/>
    <col min="4" max="4" width="12.421875" style="0" customWidth="1"/>
    <col min="5" max="5" width="11.28125" style="0" customWidth="1"/>
    <col min="6" max="6" width="10.421875" style="0" customWidth="1"/>
    <col min="7" max="7" width="16.421875" style="0" customWidth="1"/>
  </cols>
  <sheetData>
    <row r="1" spans="1:7" ht="15.75">
      <c r="A1" s="1" t="s">
        <v>10</v>
      </c>
      <c r="B1" s="2"/>
      <c r="C1" s="2"/>
      <c r="D1" s="2"/>
      <c r="E1" s="2"/>
      <c r="F1" s="2"/>
      <c r="G1" s="2"/>
    </row>
    <row r="3" spans="1:7" ht="12.75">
      <c r="A3" s="3" t="s">
        <v>0</v>
      </c>
      <c r="B3" s="3" t="s">
        <v>1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ht="12.75">
      <c r="A4" s="4">
        <v>1</v>
      </c>
      <c r="B4" s="5">
        <v>5</v>
      </c>
      <c r="C4" s="5">
        <v>1</v>
      </c>
      <c r="D4" s="4">
        <v>105.1</v>
      </c>
      <c r="E4" s="4">
        <v>31.5</v>
      </c>
      <c r="F4" s="4">
        <v>126</v>
      </c>
      <c r="G4" s="4">
        <v>0.548</v>
      </c>
    </row>
    <row r="5" spans="1:7" ht="12.75">
      <c r="A5" s="4">
        <v>5</v>
      </c>
      <c r="B5" s="5">
        <v>5</v>
      </c>
      <c r="C5" s="5">
        <v>2</v>
      </c>
      <c r="D5" s="4">
        <v>99.3</v>
      </c>
      <c r="E5" s="4">
        <v>35.5</v>
      </c>
      <c r="F5" s="4">
        <v>133</v>
      </c>
      <c r="G5" s="4">
        <v>0.811</v>
      </c>
    </row>
    <row r="6" spans="1:7" ht="12.75">
      <c r="A6" s="4">
        <v>32</v>
      </c>
      <c r="B6" s="5">
        <v>5</v>
      </c>
      <c r="C6" s="5">
        <v>3</v>
      </c>
      <c r="D6" s="4">
        <v>103.5</v>
      </c>
      <c r="E6" s="4">
        <v>33</v>
      </c>
      <c r="F6" s="4">
        <v>158</v>
      </c>
      <c r="G6" s="4">
        <v>1.073</v>
      </c>
    </row>
    <row r="7" spans="1:7" ht="12.75">
      <c r="A7" s="4">
        <v>28</v>
      </c>
      <c r="B7" s="5">
        <v>5</v>
      </c>
      <c r="C7" s="5">
        <v>4</v>
      </c>
      <c r="D7" s="4">
        <v>111.5</v>
      </c>
      <c r="E7" s="4">
        <v>39</v>
      </c>
      <c r="F7" s="4">
        <v>96</v>
      </c>
      <c r="G7" s="4">
        <v>1.072</v>
      </c>
    </row>
    <row r="8" spans="1:7" ht="12.75">
      <c r="A8" s="4">
        <v>16</v>
      </c>
      <c r="B8" s="5">
        <v>5</v>
      </c>
      <c r="C8" s="5">
        <v>5</v>
      </c>
      <c r="D8" s="4">
        <v>102.5</v>
      </c>
      <c r="E8" s="4">
        <v>34.5</v>
      </c>
      <c r="F8" s="4">
        <v>162</v>
      </c>
      <c r="G8" s="4">
        <v>0.548</v>
      </c>
    </row>
    <row r="9" spans="1:7" ht="12.75">
      <c r="A9" s="4"/>
      <c r="B9" s="6" t="s">
        <v>6</v>
      </c>
      <c r="C9" s="7"/>
      <c r="D9" s="6">
        <f>(D4+D5+D6+D7+D8)/5</f>
        <v>104.38</v>
      </c>
      <c r="E9" s="6"/>
      <c r="F9" s="6"/>
      <c r="G9" s="8">
        <f>(G4+G5+G6+G7+G8)/5</f>
        <v>0.8103999999999999</v>
      </c>
    </row>
    <row r="10" spans="1:7" ht="12.75">
      <c r="A10" s="4"/>
      <c r="B10" s="6" t="s">
        <v>7</v>
      </c>
      <c r="C10" s="7"/>
      <c r="D10" s="6">
        <f>((1/4)*((D4-D9)^2+(D5-D9)^2+(D6-D9)^2+(D7-D9)^2+(D8-D9)^2))^(1/2)</f>
        <v>4.509101906144948</v>
      </c>
      <c r="E10" s="6"/>
      <c r="F10" s="6"/>
      <c r="G10" s="6">
        <f>((1/4)*((G4-G9)^2+(G5-G9)^2+(G6-G9)^2+(G7-G9)^2+(G8-G9)^2))^(1/2)</f>
        <v>0.2622504528118112</v>
      </c>
    </row>
    <row r="11" spans="1:7" ht="12.75">
      <c r="A11" s="4"/>
      <c r="B11" s="4"/>
      <c r="C11" s="5"/>
      <c r="D11" s="4"/>
      <c r="E11" s="4"/>
      <c r="F11" s="4"/>
      <c r="G11" s="4"/>
    </row>
    <row r="12" spans="1:7" ht="12.75">
      <c r="A12" s="4">
        <v>34</v>
      </c>
      <c r="B12" s="5">
        <v>20</v>
      </c>
      <c r="C12" s="5">
        <v>1</v>
      </c>
      <c r="D12" s="4">
        <v>99</v>
      </c>
      <c r="E12" s="4">
        <v>33.5</v>
      </c>
      <c r="F12" s="4">
        <v>234</v>
      </c>
      <c r="G12" s="4">
        <v>2.642</v>
      </c>
    </row>
    <row r="13" spans="1:7" ht="12.75">
      <c r="A13" s="4">
        <v>23</v>
      </c>
      <c r="B13" s="5">
        <v>20</v>
      </c>
      <c r="C13" s="5">
        <v>2</v>
      </c>
      <c r="D13" s="4">
        <v>104.5</v>
      </c>
      <c r="E13" s="4">
        <v>39</v>
      </c>
      <c r="F13" s="4">
        <v>196</v>
      </c>
      <c r="G13" s="4">
        <v>2.759</v>
      </c>
    </row>
    <row r="14" spans="1:7" ht="12.75">
      <c r="A14" s="4">
        <v>30</v>
      </c>
      <c r="B14" s="5">
        <v>20</v>
      </c>
      <c r="C14" s="5">
        <v>3</v>
      </c>
      <c r="D14" s="4">
        <v>105</v>
      </c>
      <c r="E14" s="4">
        <v>34</v>
      </c>
      <c r="F14" s="4">
        <v>184</v>
      </c>
      <c r="G14" s="4">
        <v>2.736</v>
      </c>
    </row>
    <row r="15" spans="1:7" ht="12.75">
      <c r="A15" s="4">
        <v>12</v>
      </c>
      <c r="B15" s="5">
        <v>20</v>
      </c>
      <c r="C15" s="5">
        <v>4</v>
      </c>
      <c r="D15" s="4">
        <v>94</v>
      </c>
      <c r="E15" s="4">
        <v>34.5</v>
      </c>
      <c r="F15" s="4">
        <v>260</v>
      </c>
      <c r="G15" s="4">
        <v>2.91</v>
      </c>
    </row>
    <row r="16" spans="1:7" ht="12.75">
      <c r="A16" s="4">
        <v>6</v>
      </c>
      <c r="B16" s="5">
        <v>20</v>
      </c>
      <c r="C16" s="5">
        <v>5</v>
      </c>
      <c r="D16" s="4">
        <v>101.3</v>
      </c>
      <c r="E16" s="4">
        <v>33</v>
      </c>
      <c r="F16" s="4">
        <v>218</v>
      </c>
      <c r="G16" s="4">
        <v>2.119</v>
      </c>
    </row>
    <row r="17" spans="1:7" ht="12.75">
      <c r="A17" s="4"/>
      <c r="B17" s="3" t="s">
        <v>6</v>
      </c>
      <c r="C17" s="9"/>
      <c r="D17" s="6">
        <f>(D12+D13+D14+D15+D16)/5</f>
        <v>100.76</v>
      </c>
      <c r="E17" s="6"/>
      <c r="F17" s="6"/>
      <c r="G17" s="8">
        <f>(G12+G13+G14+G15+G16)/5</f>
        <v>2.6332</v>
      </c>
    </row>
    <row r="18" spans="1:7" ht="12.75">
      <c r="A18" s="4"/>
      <c r="B18" s="3" t="s">
        <v>7</v>
      </c>
      <c r="C18" s="9"/>
      <c r="D18" s="6">
        <f>((1/4)*((D12-D17)^2+(D13-D17)^2+(D14-D17)^2+(D15-D17)^2+(D16-D17)^2))^(1/2)</f>
        <v>4.50144421269441</v>
      </c>
      <c r="E18" s="6"/>
      <c r="F18" s="6"/>
      <c r="G18" s="6">
        <f>((1/4)*((G12-G17)^2+(G13-G17)^2+(G14-G17)^2+(G15-G17)^2+(G16-G17)^2))^(1/2)</f>
        <v>0.30310509728475366</v>
      </c>
    </row>
    <row r="19" spans="1:7" ht="12.75">
      <c r="A19" s="4"/>
      <c r="B19" s="4"/>
      <c r="C19" s="5"/>
      <c r="D19" s="4"/>
      <c r="E19" s="4"/>
      <c r="F19" s="4"/>
      <c r="G19" s="4"/>
    </row>
    <row r="20" spans="1:7" ht="12.75">
      <c r="A20" s="4">
        <v>18</v>
      </c>
      <c r="B20" s="5">
        <v>50</v>
      </c>
      <c r="C20" s="5">
        <v>1</v>
      </c>
      <c r="D20" s="4">
        <v>99.6</v>
      </c>
      <c r="E20" s="4">
        <v>39</v>
      </c>
      <c r="F20" s="4">
        <v>261</v>
      </c>
      <c r="G20" s="4">
        <v>5.149</v>
      </c>
    </row>
    <row r="21" spans="1:7" ht="12.75">
      <c r="A21" s="4">
        <v>2</v>
      </c>
      <c r="B21" s="5">
        <v>50</v>
      </c>
      <c r="C21" s="5">
        <v>2</v>
      </c>
      <c r="D21" s="4">
        <v>98.3</v>
      </c>
      <c r="E21" s="4">
        <v>31.5</v>
      </c>
      <c r="F21" s="4">
        <v>264</v>
      </c>
      <c r="G21" s="4">
        <v>5.725</v>
      </c>
    </row>
    <row r="22" spans="1:7" ht="12.75">
      <c r="A22" s="4">
        <v>11</v>
      </c>
      <c r="B22" s="5">
        <v>50</v>
      </c>
      <c r="C22" s="5">
        <v>3</v>
      </c>
      <c r="D22" s="4">
        <v>98</v>
      </c>
      <c r="E22" s="4">
        <v>33</v>
      </c>
      <c r="F22" s="4">
        <v>272</v>
      </c>
      <c r="G22" s="4">
        <v>5.543</v>
      </c>
    </row>
    <row r="23" spans="1:7" ht="12.75">
      <c r="A23" s="4">
        <v>19</v>
      </c>
      <c r="B23" s="5">
        <v>50</v>
      </c>
      <c r="C23" s="5">
        <v>4</v>
      </c>
      <c r="D23" s="4">
        <v>97.4</v>
      </c>
      <c r="E23" s="4">
        <v>39</v>
      </c>
      <c r="F23" s="4">
        <v>274</v>
      </c>
      <c r="G23" s="4">
        <v>5.264</v>
      </c>
    </row>
    <row r="24" spans="1:7" ht="12.75">
      <c r="A24" s="4">
        <v>7</v>
      </c>
      <c r="B24" s="5">
        <v>50</v>
      </c>
      <c r="C24" s="5">
        <v>5</v>
      </c>
      <c r="D24" s="4">
        <v>101.6</v>
      </c>
      <c r="E24" s="4">
        <v>33</v>
      </c>
      <c r="F24" s="4">
        <v>260</v>
      </c>
      <c r="G24" s="4">
        <v>4.899</v>
      </c>
    </row>
    <row r="25" spans="1:7" ht="12.75">
      <c r="A25" s="4"/>
      <c r="B25" s="3" t="s">
        <v>6</v>
      </c>
      <c r="C25" s="9"/>
      <c r="D25" s="6">
        <f>(D20+D21+D22+D23+D24)/5</f>
        <v>98.97999999999999</v>
      </c>
      <c r="E25" s="6"/>
      <c r="F25" s="6"/>
      <c r="G25" s="8">
        <f>(G20+G21+G22+G23+G24)/5</f>
        <v>5.316</v>
      </c>
    </row>
    <row r="26" spans="1:7" ht="12.75">
      <c r="A26" s="4"/>
      <c r="B26" s="3" t="s">
        <v>7</v>
      </c>
      <c r="C26" s="9"/>
      <c r="D26" s="6">
        <f>((1/4)*((D20-D25)^2+(D21-D25)^2+(D22-D25)^2+(D23-D25)^2+(D24-D25)^2))^(1/2)</f>
        <v>1.67092788593643</v>
      </c>
      <c r="E26" s="6"/>
      <c r="F26" s="6"/>
      <c r="G26" s="6">
        <f>((1/4)*((G20-G25)^2+(G21-G25)^2+(G22-G25)^2+(G23-G25)^2+(G24-G25)^2))^(1/2)</f>
        <v>0.3253044727635941</v>
      </c>
    </row>
    <row r="27" spans="1:7" ht="12.75">
      <c r="A27" s="4"/>
      <c r="B27" s="4"/>
      <c r="C27" s="5"/>
      <c r="D27" s="4"/>
      <c r="E27" s="4"/>
      <c r="F27" s="4"/>
      <c r="G27" s="4"/>
    </row>
    <row r="28" spans="1:7" ht="12.75">
      <c r="A28" s="4">
        <v>24</v>
      </c>
      <c r="B28" s="5">
        <v>80</v>
      </c>
      <c r="C28" s="5">
        <v>1</v>
      </c>
      <c r="D28" s="4">
        <v>112</v>
      </c>
      <c r="E28" s="4">
        <v>39</v>
      </c>
      <c r="F28" s="4">
        <v>208</v>
      </c>
      <c r="G28" s="4">
        <v>7.123</v>
      </c>
    </row>
    <row r="29" spans="1:7" ht="12.75">
      <c r="A29" s="4">
        <v>8</v>
      </c>
      <c r="B29" s="5">
        <v>80</v>
      </c>
      <c r="C29" s="5">
        <v>2</v>
      </c>
      <c r="D29" s="4">
        <v>103.7</v>
      </c>
      <c r="E29" s="4">
        <v>33</v>
      </c>
      <c r="F29" s="4">
        <v>258</v>
      </c>
      <c r="G29" s="4">
        <v>6.818</v>
      </c>
    </row>
    <row r="30" spans="1:7" ht="12.75">
      <c r="A30" s="4">
        <v>20</v>
      </c>
      <c r="B30" s="5">
        <v>80</v>
      </c>
      <c r="C30" s="5">
        <v>3</v>
      </c>
      <c r="D30" s="4">
        <v>95.4</v>
      </c>
      <c r="E30" s="4">
        <v>39</v>
      </c>
      <c r="F30" s="4">
        <v>306</v>
      </c>
      <c r="G30" s="4">
        <v>6.828</v>
      </c>
    </row>
    <row r="31" spans="1:7" ht="12.75">
      <c r="A31" s="4">
        <v>31</v>
      </c>
      <c r="B31" s="5">
        <v>80</v>
      </c>
      <c r="C31" s="5">
        <v>4</v>
      </c>
      <c r="D31" s="4">
        <v>103.1</v>
      </c>
      <c r="E31" s="4">
        <v>34</v>
      </c>
      <c r="F31" s="4">
        <v>260</v>
      </c>
      <c r="G31" s="4">
        <v>7.49</v>
      </c>
    </row>
    <row r="32" spans="1:7" ht="12.75">
      <c r="A32" s="4">
        <v>4</v>
      </c>
      <c r="B32" s="5">
        <v>80</v>
      </c>
      <c r="C32" s="5">
        <v>5</v>
      </c>
      <c r="D32" s="4">
        <v>107.1</v>
      </c>
      <c r="E32" s="4">
        <v>33.5</v>
      </c>
      <c r="F32" s="4">
        <v>235</v>
      </c>
      <c r="G32" s="4">
        <v>7.45</v>
      </c>
    </row>
    <row r="33" spans="1:7" ht="12.75">
      <c r="A33" s="4"/>
      <c r="B33" s="3" t="s">
        <v>6</v>
      </c>
      <c r="C33" s="9"/>
      <c r="D33" s="6">
        <f>(D28+D29+D30+D31+D32)/5</f>
        <v>104.26000000000002</v>
      </c>
      <c r="E33" s="6"/>
      <c r="F33" s="6"/>
      <c r="G33" s="8">
        <f>(G28+G29+G30+G31+G32)/5</f>
        <v>7.141800000000001</v>
      </c>
    </row>
    <row r="34" spans="1:7" ht="12.75">
      <c r="A34" s="4"/>
      <c r="B34" s="3" t="s">
        <v>7</v>
      </c>
      <c r="C34" s="9"/>
      <c r="D34" s="6">
        <f>((1/4)*((D28-D33)^2+(D29-D33)^2+(D30-D33)^2+(D31-D33)^2+(D32-D33)^2))^(1/2)</f>
        <v>6.085474509025567</v>
      </c>
      <c r="E34" s="6"/>
      <c r="F34" s="6"/>
      <c r="G34" s="6">
        <f>((1/4)*((G28-G33)^2+(G29-G33)^2+(G30-G33)^2+(G31-G33)^2+(G32-G33)^2))^(1/2)</f>
        <v>0.32399876542974676</v>
      </c>
    </row>
    <row r="35" spans="1:7" ht="12.75">
      <c r="A35" s="4"/>
      <c r="B35" s="4"/>
      <c r="C35" s="5"/>
      <c r="D35" s="4"/>
      <c r="E35" s="4"/>
      <c r="F35" s="4"/>
      <c r="G35" s="4"/>
    </row>
    <row r="36" spans="1:7" ht="12.75">
      <c r="A36" s="4">
        <v>13</v>
      </c>
      <c r="B36" s="5">
        <v>100</v>
      </c>
      <c r="C36" s="5">
        <v>1</v>
      </c>
      <c r="D36" s="4">
        <v>100</v>
      </c>
      <c r="E36" s="4">
        <v>34.5</v>
      </c>
      <c r="F36" s="4">
        <v>282</v>
      </c>
      <c r="G36" s="4">
        <v>8.3</v>
      </c>
    </row>
    <row r="37" spans="1:7" ht="12.75">
      <c r="A37" s="4">
        <v>35</v>
      </c>
      <c r="B37" s="5">
        <v>100</v>
      </c>
      <c r="C37" s="5">
        <v>2</v>
      </c>
      <c r="D37" s="4">
        <v>95.5</v>
      </c>
      <c r="E37" s="4">
        <v>33.5</v>
      </c>
      <c r="F37" s="4">
        <v>309</v>
      </c>
      <c r="G37" s="4">
        <v>7.475</v>
      </c>
    </row>
    <row r="38" spans="1:7" ht="12.75">
      <c r="A38" s="4">
        <v>25</v>
      </c>
      <c r="B38" s="5">
        <v>100</v>
      </c>
      <c r="C38" s="5">
        <v>3</v>
      </c>
      <c r="D38" s="4">
        <v>116</v>
      </c>
      <c r="E38" s="4">
        <v>39</v>
      </c>
      <c r="F38" s="4">
        <v>202</v>
      </c>
      <c r="G38" s="4">
        <v>7.863</v>
      </c>
    </row>
    <row r="39" spans="1:7" ht="12.75">
      <c r="A39" s="4">
        <v>27</v>
      </c>
      <c r="B39" s="5">
        <v>100</v>
      </c>
      <c r="C39" s="5">
        <v>4</v>
      </c>
      <c r="D39" s="4">
        <v>110.1</v>
      </c>
      <c r="E39" s="4">
        <v>39</v>
      </c>
      <c r="F39" s="4">
        <v>250</v>
      </c>
      <c r="G39" s="4">
        <v>8.263</v>
      </c>
    </row>
    <row r="40" spans="1:7" ht="12.75">
      <c r="A40" s="4">
        <v>9</v>
      </c>
      <c r="B40" s="5">
        <v>100</v>
      </c>
      <c r="C40" s="5">
        <v>5</v>
      </c>
      <c r="D40" s="4">
        <v>100.1</v>
      </c>
      <c r="E40" s="4">
        <v>33</v>
      </c>
      <c r="F40" s="4">
        <v>292</v>
      </c>
      <c r="G40" s="4">
        <v>7.691</v>
      </c>
    </row>
    <row r="41" spans="1:7" ht="12.75">
      <c r="A41" s="4"/>
      <c r="B41" s="3" t="s">
        <v>6</v>
      </c>
      <c r="C41" s="9"/>
      <c r="D41" s="6">
        <f>(D36+D37+D38+D39+D40)/5</f>
        <v>104.34</v>
      </c>
      <c r="E41" s="6"/>
      <c r="F41" s="6"/>
      <c r="G41" s="8">
        <f>(G36+G37+G38+G39+G40)/5</f>
        <v>7.918400000000001</v>
      </c>
    </row>
    <row r="42" spans="1:7" ht="12.75">
      <c r="A42" s="4"/>
      <c r="B42" s="3" t="s">
        <v>7</v>
      </c>
      <c r="C42" s="9"/>
      <c r="D42" s="6">
        <f>((1/4)*((D36-D41)^2+(D37-D41)^2+(D38-D41)^2+(D39-D41)^2+(D40-D41)^2))^(1/2)</f>
        <v>8.427514461571691</v>
      </c>
      <c r="E42" s="6"/>
      <c r="F42" s="6"/>
      <c r="G42" s="6">
        <f>((1/4)*((G36-G41)^2+(G37-G41)^2+(G38-G41)^2+(G39-G41)^2+(G40-G41)^2))^(1/2)</f>
        <v>0.35907909992089515</v>
      </c>
    </row>
    <row r="43" spans="1:7" ht="12.75">
      <c r="A43" s="4"/>
      <c r="B43" s="4"/>
      <c r="C43" s="5"/>
      <c r="D43" s="4"/>
      <c r="E43" s="4"/>
      <c r="F43" s="4"/>
      <c r="G43" s="4"/>
    </row>
    <row r="44" spans="1:7" ht="12.75">
      <c r="A44" s="4">
        <v>15</v>
      </c>
      <c r="B44" s="5">
        <v>125</v>
      </c>
      <c r="C44" s="5">
        <v>1</v>
      </c>
      <c r="D44" s="4">
        <v>101.8</v>
      </c>
      <c r="E44" s="4">
        <v>34.5</v>
      </c>
      <c r="F44" s="4">
        <v>303</v>
      </c>
      <c r="G44" s="4">
        <v>9.168</v>
      </c>
    </row>
    <row r="45" spans="1:7" ht="12.75">
      <c r="A45" s="4">
        <v>21</v>
      </c>
      <c r="B45" s="5">
        <v>125</v>
      </c>
      <c r="C45" s="5">
        <v>2</v>
      </c>
      <c r="D45" s="4">
        <v>95.6</v>
      </c>
      <c r="E45" s="4">
        <v>39</v>
      </c>
      <c r="F45" s="4">
        <v>320</v>
      </c>
      <c r="G45" s="4">
        <v>8.913</v>
      </c>
    </row>
    <row r="46" spans="1:7" ht="12.75">
      <c r="A46" s="4">
        <v>10</v>
      </c>
      <c r="B46" s="5">
        <v>125</v>
      </c>
      <c r="C46" s="5">
        <v>3</v>
      </c>
      <c r="D46" s="4">
        <v>105.4</v>
      </c>
      <c r="E46" s="4">
        <v>33</v>
      </c>
      <c r="F46" s="4">
        <v>266</v>
      </c>
      <c r="G46" s="4">
        <v>8.89</v>
      </c>
    </row>
    <row r="47" spans="1:7" ht="12.75">
      <c r="A47" s="4">
        <v>3</v>
      </c>
      <c r="B47" s="5">
        <v>125</v>
      </c>
      <c r="C47" s="5">
        <v>4</v>
      </c>
      <c r="D47" s="4">
        <v>105.2</v>
      </c>
      <c r="E47" s="4">
        <v>33.5</v>
      </c>
      <c r="F47" s="4">
        <v>256</v>
      </c>
      <c r="G47" s="4">
        <v>9.037</v>
      </c>
    </row>
    <row r="48" spans="1:7" ht="12.75">
      <c r="A48" s="4">
        <v>14</v>
      </c>
      <c r="B48" s="5">
        <v>125</v>
      </c>
      <c r="C48" s="5">
        <v>5</v>
      </c>
      <c r="D48" s="4">
        <v>97.5</v>
      </c>
      <c r="E48" s="4">
        <v>34.5</v>
      </c>
      <c r="F48" s="4">
        <v>299</v>
      </c>
      <c r="G48" s="4">
        <v>8.989</v>
      </c>
    </row>
    <row r="49" spans="1:7" ht="12.75">
      <c r="A49" s="4"/>
      <c r="B49" s="3" t="s">
        <v>6</v>
      </c>
      <c r="C49" s="9"/>
      <c r="D49" s="6">
        <f>(D44+D45+D46+D47+D48)/5</f>
        <v>101.1</v>
      </c>
      <c r="E49" s="6"/>
      <c r="F49" s="6"/>
      <c r="G49" s="8">
        <f>(G44+G45+G46+G47+G48)/5</f>
        <v>8.9994</v>
      </c>
    </row>
    <row r="50" spans="1:7" ht="12.75">
      <c r="A50" s="4"/>
      <c r="B50" s="3" t="s">
        <v>7</v>
      </c>
      <c r="C50" s="9"/>
      <c r="D50" s="6">
        <f>((1/4)*((D44-D49)^2+(D45-D49)^2+(D46-D49)^2+(D47-D49)^2+(D48-D49)^2))^(1/2)</f>
        <v>4.444097208657799</v>
      </c>
      <c r="E50" s="6"/>
      <c r="F50" s="6"/>
      <c r="G50" s="6">
        <f>((1/4)*((G44-G49)^2+(G45-G49)^2+(G46-G49)^2+(G47-G49)^2+(G48-G49)^2))^(1/2)</f>
        <v>0.11110940554246479</v>
      </c>
    </row>
    <row r="51" spans="1:7" ht="12.75">
      <c r="A51" s="4"/>
      <c r="B51" s="4"/>
      <c r="C51" s="5"/>
      <c r="D51" s="4"/>
      <c r="E51" s="4"/>
      <c r="F51" s="4"/>
      <c r="G51" s="4"/>
    </row>
    <row r="52" spans="1:7" ht="12.75">
      <c r="A52" s="4">
        <v>17</v>
      </c>
      <c r="B52" s="5">
        <v>150</v>
      </c>
      <c r="C52" s="5">
        <v>1</v>
      </c>
      <c r="D52" s="4">
        <v>103.7</v>
      </c>
      <c r="E52" s="4">
        <v>39</v>
      </c>
      <c r="F52" s="4">
        <v>275</v>
      </c>
      <c r="G52" s="4">
        <v>9.64</v>
      </c>
    </row>
    <row r="53" spans="1:7" ht="12.75">
      <c r="A53" s="4">
        <v>22</v>
      </c>
      <c r="B53" s="5">
        <v>150</v>
      </c>
      <c r="C53" s="5">
        <v>2</v>
      </c>
      <c r="D53" s="4">
        <v>98.3</v>
      </c>
      <c r="E53" s="4">
        <v>39</v>
      </c>
      <c r="F53" s="4">
        <v>310</v>
      </c>
      <c r="G53" s="4">
        <v>10.082</v>
      </c>
    </row>
    <row r="54" spans="1:7" ht="12.75">
      <c r="A54" s="4">
        <v>26</v>
      </c>
      <c r="B54" s="5">
        <v>150</v>
      </c>
      <c r="C54" s="5">
        <v>3</v>
      </c>
      <c r="D54" s="4">
        <v>108.4</v>
      </c>
      <c r="E54" s="4">
        <v>39</v>
      </c>
      <c r="F54" s="4">
        <v>269</v>
      </c>
      <c r="G54" s="4">
        <v>10.05</v>
      </c>
    </row>
    <row r="55" spans="1:7" ht="12.75">
      <c r="A55" s="4">
        <v>29</v>
      </c>
      <c r="B55" s="5">
        <v>150</v>
      </c>
      <c r="C55" s="5">
        <v>4</v>
      </c>
      <c r="D55" s="4">
        <v>101.3</v>
      </c>
      <c r="E55" s="4">
        <v>34</v>
      </c>
      <c r="F55" s="4">
        <v>302</v>
      </c>
      <c r="G55" s="4">
        <v>10.32</v>
      </c>
    </row>
    <row r="56" spans="1:7" ht="12.75">
      <c r="A56" s="4">
        <v>33</v>
      </c>
      <c r="B56" s="5">
        <v>150</v>
      </c>
      <c r="C56" s="5">
        <v>5</v>
      </c>
      <c r="D56" s="4">
        <v>98.2</v>
      </c>
      <c r="E56" s="4">
        <v>34</v>
      </c>
      <c r="F56" s="4">
        <v>309</v>
      </c>
      <c r="G56" s="4">
        <v>10.25</v>
      </c>
    </row>
    <row r="57" spans="1:7" ht="12.75">
      <c r="A57" s="4"/>
      <c r="B57" s="3" t="s">
        <v>6</v>
      </c>
      <c r="C57" s="9"/>
      <c r="D57" s="6">
        <f>(D52+D53+D54+D55+D56)/5</f>
        <v>101.97999999999999</v>
      </c>
      <c r="E57" s="6"/>
      <c r="F57" s="6"/>
      <c r="G57" s="8">
        <f>(G52+G53+G54+G55+G56)/5</f>
        <v>10.0684</v>
      </c>
    </row>
    <row r="58" spans="1:7" ht="12.75">
      <c r="A58" s="4"/>
      <c r="B58" s="3" t="s">
        <v>7</v>
      </c>
      <c r="C58" s="9"/>
      <c r="D58" s="6">
        <f>((1/4)*((D52-D57)^2+(D53-D57)^2+(D54-D57)^2+(D55-D57)^2+(D56-D57)^2))^(1/2)</f>
        <v>4.256406935432751</v>
      </c>
      <c r="E58" s="6"/>
      <c r="F58" s="6"/>
      <c r="G58" s="6">
        <f>((1/4)*((G52-G57)^2+(G53-G57)^2+(G54-G57)^2+(G55-G57)^2+(G56-G57)^2))^(1/2)</f>
        <v>0.2647315621530608</v>
      </c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>
        <v>36</v>
      </c>
      <c r="B60" s="5">
        <v>200</v>
      </c>
      <c r="C60" s="5">
        <v>1</v>
      </c>
      <c r="D60" s="4">
        <v>105.3</v>
      </c>
      <c r="E60" s="4">
        <v>34.5</v>
      </c>
      <c r="F60" s="4">
        <v>290</v>
      </c>
      <c r="G60" s="4">
        <v>12.141</v>
      </c>
    </row>
    <row r="61" spans="1:7" ht="12.75">
      <c r="A61" s="4">
        <v>37</v>
      </c>
      <c r="B61" s="5">
        <v>200</v>
      </c>
      <c r="C61" s="5">
        <v>2</v>
      </c>
      <c r="D61" s="4">
        <v>105.7</v>
      </c>
      <c r="E61" s="4">
        <v>34.5</v>
      </c>
      <c r="F61" s="4">
        <v>290</v>
      </c>
      <c r="G61" s="4">
        <v>11.894</v>
      </c>
    </row>
    <row r="62" spans="1:7" ht="12.75">
      <c r="A62" s="4">
        <v>38</v>
      </c>
      <c r="B62" s="5">
        <v>200</v>
      </c>
      <c r="C62" s="5">
        <v>3</v>
      </c>
      <c r="D62" s="4">
        <v>105.4</v>
      </c>
      <c r="E62" s="4">
        <v>34.5</v>
      </c>
      <c r="F62" s="4">
        <v>300</v>
      </c>
      <c r="G62" s="4">
        <v>12.321</v>
      </c>
    </row>
    <row r="63" spans="1:7" ht="12.75">
      <c r="A63" s="4">
        <v>39</v>
      </c>
      <c r="B63" s="5">
        <v>200</v>
      </c>
      <c r="C63" s="5">
        <v>4</v>
      </c>
      <c r="D63" s="4">
        <v>106.7</v>
      </c>
      <c r="E63" s="4">
        <v>34.5</v>
      </c>
      <c r="F63" s="4">
        <v>292</v>
      </c>
      <c r="G63" s="4">
        <v>12.19</v>
      </c>
    </row>
    <row r="64" spans="1:7" ht="12.75">
      <c r="A64" s="4">
        <v>46</v>
      </c>
      <c r="B64" s="5">
        <v>200</v>
      </c>
      <c r="C64" s="5">
        <v>5</v>
      </c>
      <c r="D64" s="4">
        <v>101.5</v>
      </c>
      <c r="E64" s="4">
        <v>32</v>
      </c>
      <c r="F64" s="4">
        <v>321</v>
      </c>
      <c r="G64" s="4">
        <v>12.053</v>
      </c>
    </row>
    <row r="65" spans="1:7" ht="12.75">
      <c r="A65" s="4"/>
      <c r="B65" s="3" t="s">
        <v>6</v>
      </c>
      <c r="C65" s="3"/>
      <c r="D65" s="6">
        <f>SUM(D60:D64)/5</f>
        <v>104.91999999999999</v>
      </c>
      <c r="E65" s="6"/>
      <c r="F65" s="6"/>
      <c r="G65" s="8">
        <f>SUM(G60:G64)/5</f>
        <v>12.119800000000001</v>
      </c>
    </row>
    <row r="66" spans="1:7" ht="12.75">
      <c r="A66" s="4"/>
      <c r="B66" s="3" t="s">
        <v>7</v>
      </c>
      <c r="C66" s="3"/>
      <c r="D66" s="6">
        <f>((1/4)*((D60-D65)^2+(D61-D65)^2+(D62-D65)^2+(D63-D65)^2+(D64-D65)^2))^(1/2)</f>
        <v>1.990477329687531</v>
      </c>
      <c r="E66" s="6"/>
      <c r="F66" s="6"/>
      <c r="G66" s="6">
        <f>((1/4)*((G60-G65)^2+(G61-G65)^2+(G62-G65)^2+(G63-G65)^2+(G64-G65)^2))^(1/2)</f>
        <v>0.15914364580466264</v>
      </c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>
        <v>40</v>
      </c>
      <c r="B68" s="5">
        <v>300</v>
      </c>
      <c r="C68" s="4">
        <v>1</v>
      </c>
      <c r="D68" s="4">
        <v>106.3</v>
      </c>
      <c r="E68" s="4">
        <v>33</v>
      </c>
      <c r="F68" s="4">
        <v>305</v>
      </c>
      <c r="G68" s="4">
        <v>14.928</v>
      </c>
    </row>
    <row r="69" spans="1:7" ht="12.75">
      <c r="A69" s="4">
        <v>41</v>
      </c>
      <c r="B69" s="5">
        <v>300</v>
      </c>
      <c r="C69" s="4">
        <v>2</v>
      </c>
      <c r="D69" s="4">
        <v>96.8</v>
      </c>
      <c r="E69" s="4">
        <v>33</v>
      </c>
      <c r="F69" s="4">
        <v>359</v>
      </c>
      <c r="G69" s="4">
        <v>14.941</v>
      </c>
    </row>
    <row r="70" spans="1:7" ht="12.75">
      <c r="A70" s="4">
        <v>44</v>
      </c>
      <c r="B70" s="5">
        <v>300</v>
      </c>
      <c r="C70" s="4">
        <v>3</v>
      </c>
      <c r="D70" s="4">
        <v>106.5</v>
      </c>
      <c r="E70" s="4">
        <v>32</v>
      </c>
      <c r="F70" s="4">
        <v>308</v>
      </c>
      <c r="G70" s="4">
        <v>13.85</v>
      </c>
    </row>
    <row r="71" spans="1:7" ht="12.75">
      <c r="A71" s="4">
        <v>47</v>
      </c>
      <c r="B71" s="5">
        <v>300</v>
      </c>
      <c r="C71" s="4">
        <v>4</v>
      </c>
      <c r="D71" s="4">
        <v>99.6</v>
      </c>
      <c r="E71" s="4">
        <v>32</v>
      </c>
      <c r="F71" s="4">
        <v>345</v>
      </c>
      <c r="G71" s="4">
        <v>15.018</v>
      </c>
    </row>
    <row r="72" spans="1:7" ht="12.75">
      <c r="A72" s="4">
        <v>49</v>
      </c>
      <c r="B72" s="5">
        <v>300</v>
      </c>
      <c r="C72" s="4">
        <v>5</v>
      </c>
      <c r="D72" s="4">
        <v>109.4</v>
      </c>
      <c r="E72" s="4">
        <v>32</v>
      </c>
      <c r="F72" s="4">
        <v>289</v>
      </c>
      <c r="G72" s="4">
        <v>15.118</v>
      </c>
    </row>
    <row r="73" spans="1:7" ht="12.75">
      <c r="A73" s="4"/>
      <c r="B73" s="3" t="s">
        <v>6</v>
      </c>
      <c r="C73" s="3"/>
      <c r="D73" s="6">
        <f>SUM(D68:D72)/5</f>
        <v>103.72</v>
      </c>
      <c r="E73" s="6"/>
      <c r="F73" s="6"/>
      <c r="G73" s="8">
        <f>SUM(G68:G72)/5</f>
        <v>14.771</v>
      </c>
    </row>
    <row r="74" spans="1:7" ht="12.75">
      <c r="A74" s="4"/>
      <c r="B74" s="3" t="s">
        <v>7</v>
      </c>
      <c r="C74" s="3"/>
      <c r="D74" s="6">
        <f>((1/4)*((D68-D73)^2+(D69-D73)^2+(D70-D73)^2+(D71-D73)^2+(D72-D73)^2))^(1/2)</f>
        <v>5.27986742257796</v>
      </c>
      <c r="E74" s="6"/>
      <c r="F74" s="6"/>
      <c r="G74" s="6">
        <f>((1/4)*((G68-G73)^2+(G69-G73)^2+(G70-G73)^2+(G71-G73)^2+(G72-G73)^2))^(1/2)</f>
        <v>0.5203863949028649</v>
      </c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>
        <v>42</v>
      </c>
      <c r="B76" s="5">
        <v>450</v>
      </c>
      <c r="C76" s="5">
        <v>1</v>
      </c>
      <c r="D76" s="4">
        <v>103.6</v>
      </c>
      <c r="E76" s="4">
        <v>32</v>
      </c>
      <c r="F76" s="4">
        <v>338</v>
      </c>
      <c r="G76" s="4">
        <v>18.554</v>
      </c>
    </row>
    <row r="77" spans="1:7" ht="12.75">
      <c r="A77" s="4">
        <v>43</v>
      </c>
      <c r="B77" s="5">
        <v>450</v>
      </c>
      <c r="C77" s="5">
        <v>2</v>
      </c>
      <c r="D77" s="4">
        <v>100.9</v>
      </c>
      <c r="E77" s="4">
        <v>32</v>
      </c>
      <c r="F77" s="4">
        <v>355</v>
      </c>
      <c r="G77" s="4">
        <v>18.428</v>
      </c>
    </row>
    <row r="78" spans="1:7" ht="12.75">
      <c r="A78" s="4">
        <v>45</v>
      </c>
      <c r="B78" s="5">
        <v>450</v>
      </c>
      <c r="C78" s="5">
        <v>3</v>
      </c>
      <c r="D78" s="4">
        <v>107.3</v>
      </c>
      <c r="E78" s="4">
        <v>32</v>
      </c>
      <c r="F78" s="4">
        <v>310</v>
      </c>
      <c r="G78" s="4">
        <v>18.214</v>
      </c>
    </row>
    <row r="79" spans="1:7" ht="12.75">
      <c r="A79" s="4">
        <v>48</v>
      </c>
      <c r="B79" s="5">
        <v>450</v>
      </c>
      <c r="C79" s="5">
        <v>4</v>
      </c>
      <c r="D79" s="4">
        <v>104</v>
      </c>
      <c r="E79" s="4">
        <v>32</v>
      </c>
      <c r="F79" s="4">
        <v>331</v>
      </c>
      <c r="G79" s="4">
        <v>17.682</v>
      </c>
    </row>
    <row r="80" spans="1:7" ht="12.75">
      <c r="A80" s="4">
        <v>50</v>
      </c>
      <c r="B80" s="5">
        <v>450</v>
      </c>
      <c r="C80" s="5">
        <v>5</v>
      </c>
      <c r="D80" s="4">
        <v>105.7</v>
      </c>
      <c r="E80" s="4">
        <v>31</v>
      </c>
      <c r="F80" s="4">
        <v>330</v>
      </c>
      <c r="G80" s="4">
        <v>18.302</v>
      </c>
    </row>
    <row r="81" spans="1:7" ht="12.75">
      <c r="A81" s="4"/>
      <c r="B81" s="3" t="s">
        <v>6</v>
      </c>
      <c r="C81" s="3"/>
      <c r="D81" s="6">
        <f>SUM(D76:D80)/5</f>
        <v>104.3</v>
      </c>
      <c r="E81" s="6"/>
      <c r="F81" s="6"/>
      <c r="G81" s="8">
        <f>SUM(G76:G80)/5</f>
        <v>18.236</v>
      </c>
    </row>
    <row r="82" spans="1:7" ht="12.75">
      <c r="A82" s="4"/>
      <c r="B82" s="3" t="s">
        <v>7</v>
      </c>
      <c r="C82" s="3"/>
      <c r="D82" s="6">
        <f>((1/4)*((D76-D81)^2+(D77-D81)^2+(D78-D81)^2+(D79-D81)^2+(D80-D81)^2))^(1/2)</f>
        <v>2.403122968139581</v>
      </c>
      <c r="E82" s="6"/>
      <c r="F82" s="6"/>
      <c r="G82" s="6">
        <f>((1/4)*((G76-G81)^2+(G77-G81)^2+(G78-G81)^2+(G79-G81)^2+(G80-G81)^2))^(1/2)</f>
        <v>0.3353147774852761</v>
      </c>
    </row>
    <row r="85" spans="1:5" ht="15.75">
      <c r="A85" s="1" t="s">
        <v>8</v>
      </c>
      <c r="B85" s="2"/>
      <c r="C85" s="2"/>
      <c r="D85" s="2"/>
      <c r="E85" s="2"/>
    </row>
    <row r="87" spans="1:7" ht="12.75">
      <c r="A87" s="3" t="s">
        <v>0</v>
      </c>
      <c r="B87" s="3" t="s">
        <v>1</v>
      </c>
      <c r="C87" s="3" t="s">
        <v>9</v>
      </c>
      <c r="D87" s="3" t="s">
        <v>2</v>
      </c>
      <c r="E87" s="3" t="s">
        <v>3</v>
      </c>
      <c r="F87" s="3" t="s">
        <v>4</v>
      </c>
      <c r="G87" s="3" t="s">
        <v>5</v>
      </c>
    </row>
    <row r="88" spans="1:7" ht="12.75">
      <c r="A88" s="4">
        <v>1</v>
      </c>
      <c r="B88" s="5">
        <v>20</v>
      </c>
      <c r="C88" s="5">
        <v>1</v>
      </c>
      <c r="D88" s="4">
        <v>103</v>
      </c>
      <c r="E88" s="4">
        <v>39</v>
      </c>
      <c r="F88" s="4">
        <v>760</v>
      </c>
      <c r="G88" s="4">
        <v>3.452</v>
      </c>
    </row>
    <row r="89" spans="1:7" ht="12.75">
      <c r="A89" s="4">
        <v>10</v>
      </c>
      <c r="B89" s="5">
        <v>20</v>
      </c>
      <c r="C89" s="5">
        <v>2</v>
      </c>
      <c r="D89" s="4">
        <v>101.1</v>
      </c>
      <c r="E89" s="4">
        <v>45</v>
      </c>
      <c r="F89" s="4">
        <v>830</v>
      </c>
      <c r="G89" s="4">
        <v>3.36</v>
      </c>
    </row>
    <row r="90" spans="1:7" ht="12.75">
      <c r="A90" s="4">
        <v>11</v>
      </c>
      <c r="B90" s="5">
        <v>20</v>
      </c>
      <c r="C90" s="5">
        <v>3</v>
      </c>
      <c r="D90" s="4">
        <v>100.7</v>
      </c>
      <c r="E90" s="4">
        <v>41</v>
      </c>
      <c r="F90" s="4">
        <v>750</v>
      </c>
      <c r="G90" s="4">
        <v>2.985</v>
      </c>
    </row>
    <row r="91" spans="1:7" ht="12.75">
      <c r="A91" s="4">
        <v>16</v>
      </c>
      <c r="B91" s="5">
        <v>20</v>
      </c>
      <c r="C91" s="5">
        <v>4</v>
      </c>
      <c r="D91" s="4">
        <v>97.4</v>
      </c>
      <c r="E91" s="4">
        <v>41</v>
      </c>
      <c r="F91" s="4">
        <v>910</v>
      </c>
      <c r="G91" s="4">
        <v>3.152</v>
      </c>
    </row>
    <row r="92" spans="1:7" ht="12.75">
      <c r="A92" s="4">
        <v>22</v>
      </c>
      <c r="B92" s="5">
        <v>20</v>
      </c>
      <c r="C92" s="5">
        <v>5</v>
      </c>
      <c r="D92" s="4">
        <v>99.8</v>
      </c>
      <c r="E92" s="4">
        <v>38</v>
      </c>
      <c r="F92" s="4">
        <v>840</v>
      </c>
      <c r="G92" s="4">
        <v>3.534</v>
      </c>
    </row>
    <row r="93" spans="1:7" ht="12.75">
      <c r="A93" s="4"/>
      <c r="B93" s="6" t="s">
        <v>6</v>
      </c>
      <c r="C93" s="7"/>
      <c r="D93" s="6">
        <f>SUM(D88:D92)/5</f>
        <v>100.4</v>
      </c>
      <c r="E93" s="6"/>
      <c r="F93" s="6"/>
      <c r="G93" s="8">
        <f>SUM(G88:G92)/5</f>
        <v>3.2965999999999993</v>
      </c>
    </row>
    <row r="94" spans="1:7" ht="12.75">
      <c r="A94" s="4"/>
      <c r="B94" s="6" t="s">
        <v>7</v>
      </c>
      <c r="C94" s="7"/>
      <c r="D94" s="6">
        <f>((1/4)*((D88-D93)^2+(D89-D93)^2+(D90-D93)^2+(D91-D93)^2+(D92-D93)^2))^(1/2)</f>
        <v>2.043281674170253</v>
      </c>
      <c r="E94" s="6"/>
      <c r="F94" s="6"/>
      <c r="G94" s="6">
        <f>((1/4)*((G88-G93)^2+(G89-G93)^2+(G90-G93)^2+(G91-G93)^2+(G92-G93)^2))^(1/2)</f>
        <v>0.2250173326657304</v>
      </c>
    </row>
    <row r="95" spans="1:7" ht="12.75">
      <c r="A95" s="4"/>
      <c r="B95" s="4"/>
      <c r="C95" s="4"/>
      <c r="D95" s="4"/>
      <c r="E95" s="4"/>
      <c r="F95" s="4"/>
      <c r="G95" s="4"/>
    </row>
    <row r="96" spans="1:7" ht="12.75">
      <c r="A96" s="4">
        <v>2</v>
      </c>
      <c r="B96" s="5">
        <v>50</v>
      </c>
      <c r="C96" s="5">
        <v>1</v>
      </c>
      <c r="D96" s="4">
        <v>98.3</v>
      </c>
      <c r="E96" s="4">
        <v>39</v>
      </c>
      <c r="F96" s="4">
        <v>970</v>
      </c>
      <c r="G96" s="4">
        <v>5.917</v>
      </c>
    </row>
    <row r="97" spans="1:7" ht="12.75">
      <c r="A97" s="4">
        <v>8</v>
      </c>
      <c r="B97" s="5">
        <v>50</v>
      </c>
      <c r="C97" s="5">
        <v>2</v>
      </c>
      <c r="D97" s="4">
        <v>100.8</v>
      </c>
      <c r="E97" s="4">
        <v>44</v>
      </c>
      <c r="F97" s="4">
        <v>975</v>
      </c>
      <c r="G97" s="4">
        <v>5.522</v>
      </c>
    </row>
    <row r="98" spans="1:7" ht="12.75">
      <c r="A98" s="4">
        <v>12</v>
      </c>
      <c r="B98" s="5">
        <v>50</v>
      </c>
      <c r="C98" s="5">
        <v>3</v>
      </c>
      <c r="D98" s="4">
        <v>103.7</v>
      </c>
      <c r="E98" s="4">
        <v>41</v>
      </c>
      <c r="F98" s="4">
        <v>870</v>
      </c>
      <c r="G98" s="4">
        <v>5.53</v>
      </c>
    </row>
    <row r="99" spans="1:7" ht="12.75">
      <c r="A99" s="4">
        <v>20</v>
      </c>
      <c r="B99" s="5">
        <v>50</v>
      </c>
      <c r="C99" s="5">
        <v>4</v>
      </c>
      <c r="D99" s="4">
        <v>98.1</v>
      </c>
      <c r="E99" s="4">
        <v>38</v>
      </c>
      <c r="F99" s="4">
        <v>1010</v>
      </c>
      <c r="G99" s="4">
        <v>6.129</v>
      </c>
    </row>
    <row r="100" spans="1:7" ht="12.75">
      <c r="A100" s="4">
        <v>21</v>
      </c>
      <c r="B100" s="5">
        <v>50</v>
      </c>
      <c r="C100" s="5">
        <v>5</v>
      </c>
      <c r="D100" s="4">
        <v>96.2</v>
      </c>
      <c r="E100" s="4">
        <v>38</v>
      </c>
      <c r="F100" s="4">
        <v>1050</v>
      </c>
      <c r="G100" s="4">
        <v>6.038</v>
      </c>
    </row>
    <row r="101" spans="1:7" ht="12.75">
      <c r="A101" s="4"/>
      <c r="B101" s="6" t="s">
        <v>6</v>
      </c>
      <c r="C101" s="7"/>
      <c r="D101" s="6">
        <f>SUM(D96:D100)/5</f>
        <v>99.41999999999999</v>
      </c>
      <c r="E101" s="6"/>
      <c r="F101" s="6"/>
      <c r="G101" s="8">
        <f>SUM(G96:G100)/5</f>
        <v>5.8271999999999995</v>
      </c>
    </row>
    <row r="102" spans="1:7" ht="12.75">
      <c r="A102" s="4"/>
      <c r="B102" s="6" t="s">
        <v>7</v>
      </c>
      <c r="C102" s="7"/>
      <c r="D102" s="6">
        <f>((1/4)*((D96-D101)^2+(D97-D101)^2+(D98-D101)^2+(D99-D101)^2+(D100-D101)^2))^(1/2)</f>
        <v>2.897757753850381</v>
      </c>
      <c r="E102" s="6"/>
      <c r="F102" s="6"/>
      <c r="G102" s="6">
        <f>((1/4)*((G96-G101)^2+(G97-G101)^2+(G98-G101)^2+(G99-G101)^2+(G100-G101)^2))^(1/2)</f>
        <v>0.28506964061435913</v>
      </c>
    </row>
    <row r="103" spans="1:7" ht="12.75">
      <c r="A103" s="4"/>
      <c r="B103" s="4"/>
      <c r="C103" s="4"/>
      <c r="D103" s="4"/>
      <c r="E103" s="4"/>
      <c r="F103" s="4"/>
      <c r="G103" s="4"/>
    </row>
    <row r="104" spans="1:7" ht="12.75">
      <c r="A104" s="4">
        <v>4</v>
      </c>
      <c r="B104" s="5">
        <v>80</v>
      </c>
      <c r="C104" s="5">
        <v>1</v>
      </c>
      <c r="D104" s="4">
        <v>103.4</v>
      </c>
      <c r="E104" s="4">
        <v>41</v>
      </c>
      <c r="F104" s="4">
        <v>972</v>
      </c>
      <c r="G104" s="4">
        <v>7.322</v>
      </c>
    </row>
    <row r="105" spans="1:7" ht="12.75">
      <c r="A105" s="4">
        <v>9</v>
      </c>
      <c r="B105" s="5">
        <v>80</v>
      </c>
      <c r="C105" s="5">
        <v>2</v>
      </c>
      <c r="D105" s="4">
        <v>103.2</v>
      </c>
      <c r="E105" s="4">
        <v>44</v>
      </c>
      <c r="F105" s="4">
        <v>1110</v>
      </c>
      <c r="G105" s="4">
        <v>6.863</v>
      </c>
    </row>
    <row r="106" spans="1:7" ht="12.75">
      <c r="A106" s="4">
        <v>15</v>
      </c>
      <c r="B106" s="5">
        <v>80</v>
      </c>
      <c r="C106" s="5">
        <v>3</v>
      </c>
      <c r="D106" s="4">
        <v>103.6</v>
      </c>
      <c r="E106" s="4">
        <v>41</v>
      </c>
      <c r="F106" s="4">
        <v>970</v>
      </c>
      <c r="G106" s="4">
        <v>7.682</v>
      </c>
    </row>
    <row r="107" spans="1:7" ht="12.75">
      <c r="A107" s="4">
        <v>18</v>
      </c>
      <c r="B107" s="5">
        <v>80</v>
      </c>
      <c r="C107" s="5">
        <v>4</v>
      </c>
      <c r="D107" s="4">
        <v>105.1</v>
      </c>
      <c r="E107" s="4">
        <v>39</v>
      </c>
      <c r="F107" s="4">
        <v>990</v>
      </c>
      <c r="G107" s="4">
        <v>7.47</v>
      </c>
    </row>
    <row r="108" spans="1:7" ht="12.75">
      <c r="A108" s="4">
        <v>24</v>
      </c>
      <c r="B108" s="5">
        <v>80</v>
      </c>
      <c r="C108" s="5">
        <v>5</v>
      </c>
      <c r="D108" s="4">
        <v>101.8</v>
      </c>
      <c r="E108" s="4">
        <v>38</v>
      </c>
      <c r="F108" s="4">
        <v>1000</v>
      </c>
      <c r="G108" s="4">
        <v>7.597</v>
      </c>
    </row>
    <row r="109" spans="1:7" ht="12.75">
      <c r="A109" s="4"/>
      <c r="B109" s="6" t="s">
        <v>6</v>
      </c>
      <c r="C109" s="7"/>
      <c r="D109" s="6">
        <f>SUM(D104:D108)/5</f>
        <v>103.42</v>
      </c>
      <c r="E109" s="6"/>
      <c r="F109" s="6"/>
      <c r="G109" s="8">
        <f>SUM(G104:G108)/5</f>
        <v>7.386799999999999</v>
      </c>
    </row>
    <row r="110" spans="1:7" ht="12.75">
      <c r="A110" s="4"/>
      <c r="B110" s="6" t="s">
        <v>7</v>
      </c>
      <c r="C110" s="7"/>
      <c r="D110" s="6">
        <f>((1/4)*((D104-D109)^2+(D105-D109)^2+(D106-D109)^2+(D107-D109)^2+(D108-D109)^2))^(1/2)</f>
        <v>1.175584960774846</v>
      </c>
      <c r="E110" s="6"/>
      <c r="F110" s="6"/>
      <c r="G110" s="6">
        <f>((1/4)*((G104-G109)^2+(G105-G109)^2+(G106-G109)^2+(G107-G109)^2+(G108-G109)^2))^(1/2)</f>
        <v>0.3228059788789544</v>
      </c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>
        <v>3</v>
      </c>
      <c r="B112" s="5">
        <v>150</v>
      </c>
      <c r="C112" s="5">
        <v>1</v>
      </c>
      <c r="D112" s="4">
        <v>106.5</v>
      </c>
      <c r="E112" s="4">
        <v>40</v>
      </c>
      <c r="F112" s="4">
        <v>993</v>
      </c>
      <c r="G112" s="4">
        <v>10.733</v>
      </c>
    </row>
    <row r="113" spans="1:7" ht="12.75">
      <c r="A113" s="4">
        <v>7</v>
      </c>
      <c r="B113" s="5">
        <v>150</v>
      </c>
      <c r="C113" s="5">
        <v>2</v>
      </c>
      <c r="D113" s="4">
        <v>100.7</v>
      </c>
      <c r="E113" s="4">
        <v>43.5</v>
      </c>
      <c r="F113" s="4">
        <v>1110</v>
      </c>
      <c r="G113" s="4">
        <v>10.211</v>
      </c>
    </row>
    <row r="114" spans="1:7" ht="12.75">
      <c r="A114" s="4">
        <v>13</v>
      </c>
      <c r="B114" s="5">
        <v>150</v>
      </c>
      <c r="C114" s="5">
        <v>3</v>
      </c>
      <c r="D114" s="4">
        <v>100.7</v>
      </c>
      <c r="E114" s="4">
        <v>41</v>
      </c>
      <c r="F114" s="4">
        <v>1070</v>
      </c>
      <c r="G114" s="4">
        <v>10.02</v>
      </c>
    </row>
    <row r="115" spans="1:7" ht="12.75">
      <c r="A115" s="4">
        <v>14</v>
      </c>
      <c r="B115" s="5">
        <v>150</v>
      </c>
      <c r="C115" s="5">
        <v>4</v>
      </c>
      <c r="D115" s="4">
        <v>102.1</v>
      </c>
      <c r="E115" s="4">
        <v>41</v>
      </c>
      <c r="F115" s="4">
        <v>1060</v>
      </c>
      <c r="G115" s="4">
        <v>10.007</v>
      </c>
    </row>
    <row r="116" spans="1:7" ht="12.75">
      <c r="A116" s="4">
        <v>23</v>
      </c>
      <c r="B116" s="5">
        <v>150</v>
      </c>
      <c r="C116" s="5">
        <v>5</v>
      </c>
      <c r="D116" s="4">
        <v>97.7</v>
      </c>
      <c r="E116" s="4">
        <v>38</v>
      </c>
      <c r="F116" s="4">
        <v>1150</v>
      </c>
      <c r="G116" s="4">
        <v>10.474</v>
      </c>
    </row>
    <row r="117" spans="1:7" ht="12.75">
      <c r="A117" s="4"/>
      <c r="B117" s="6" t="s">
        <v>6</v>
      </c>
      <c r="C117" s="7"/>
      <c r="D117" s="6">
        <f>SUM(D112:D116)/5</f>
        <v>101.53999999999999</v>
      </c>
      <c r="E117" s="6"/>
      <c r="F117" s="6"/>
      <c r="G117" s="8">
        <f>SUM(G112:G116)/5</f>
        <v>10.289000000000001</v>
      </c>
    </row>
    <row r="118" spans="1:7" ht="12.75">
      <c r="A118" s="4"/>
      <c r="B118" s="6" t="s">
        <v>7</v>
      </c>
      <c r="C118" s="7"/>
      <c r="D118" s="6">
        <f>((1/4)*((D112-D117)^2+(D113-D117)^2+(D114-D117)^2+(D115-D117)^2+(D116-D117)^2))^(1/2)</f>
        <v>3.2043720133592464</v>
      </c>
      <c r="E118" s="6"/>
      <c r="F118" s="6"/>
      <c r="G118" s="6">
        <f>((1/4)*((G112-G117)^2+(G113-G117)^2+(G114-G117)^2+(G115-G117)^2+(G116-G117)^2))^(1/2)</f>
        <v>0.31198156996848425</v>
      </c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>
        <v>5</v>
      </c>
      <c r="B120" s="5">
        <v>300</v>
      </c>
      <c r="C120" s="5">
        <v>1</v>
      </c>
      <c r="D120" s="4">
        <v>103.3</v>
      </c>
      <c r="E120" s="4">
        <v>42</v>
      </c>
      <c r="F120" s="4">
        <v>1170</v>
      </c>
      <c r="G120" s="4">
        <v>14.655</v>
      </c>
    </row>
    <row r="121" spans="1:7" ht="12.75">
      <c r="A121" s="4">
        <v>6</v>
      </c>
      <c r="B121" s="5">
        <v>300</v>
      </c>
      <c r="C121" s="5">
        <v>2</v>
      </c>
      <c r="D121" s="4">
        <v>102.7</v>
      </c>
      <c r="E121" s="4">
        <v>43</v>
      </c>
      <c r="F121" s="4">
        <v>1170</v>
      </c>
      <c r="G121" s="4">
        <v>14.165</v>
      </c>
    </row>
    <row r="122" spans="1:7" ht="12.75">
      <c r="A122" s="4">
        <v>17</v>
      </c>
      <c r="B122" s="5">
        <v>300</v>
      </c>
      <c r="C122" s="5">
        <v>3</v>
      </c>
      <c r="D122" s="4">
        <v>101.4</v>
      </c>
      <c r="E122" s="4">
        <v>41</v>
      </c>
      <c r="F122" s="4">
        <v>1160</v>
      </c>
      <c r="G122" s="4">
        <v>14.539</v>
      </c>
    </row>
    <row r="123" spans="1:7" ht="12.75">
      <c r="A123" s="4">
        <v>19</v>
      </c>
      <c r="B123" s="5">
        <v>300</v>
      </c>
      <c r="C123" s="5">
        <v>4</v>
      </c>
      <c r="D123" s="4">
        <v>99.3</v>
      </c>
      <c r="E123" s="4">
        <v>39</v>
      </c>
      <c r="F123" s="4">
        <v>1180</v>
      </c>
      <c r="G123" s="4">
        <v>14.701</v>
      </c>
    </row>
    <row r="124" spans="1:7" ht="12.75">
      <c r="A124" s="4">
        <v>25</v>
      </c>
      <c r="B124" s="5">
        <v>300</v>
      </c>
      <c r="C124" s="5">
        <v>5</v>
      </c>
      <c r="D124" s="4">
        <v>101.3</v>
      </c>
      <c r="E124" s="4">
        <v>38</v>
      </c>
      <c r="F124" s="4">
        <v>1170</v>
      </c>
      <c r="G124" s="4">
        <v>14.634</v>
      </c>
    </row>
    <row r="125" spans="1:7" ht="12.75">
      <c r="A125" s="4"/>
      <c r="B125" s="6" t="s">
        <v>6</v>
      </c>
      <c r="C125" s="7"/>
      <c r="D125" s="6">
        <f>SUM(D120:D124)/5</f>
        <v>101.6</v>
      </c>
      <c r="E125" s="6"/>
      <c r="F125" s="6"/>
      <c r="G125" s="8">
        <f>SUM(G120:G124)/5</f>
        <v>14.5388</v>
      </c>
    </row>
    <row r="126" spans="1:7" ht="12.75">
      <c r="A126" s="4"/>
      <c r="B126" s="6" t="s">
        <v>7</v>
      </c>
      <c r="C126" s="7"/>
      <c r="D126" s="6">
        <f>((1/4)*((D120-D125)^2+(D121-D125)^2+(D122-D125)^2+(D123-D125)^2+(D124-D125)^2))^(1/2)</f>
        <v>1.5427248620541518</v>
      </c>
      <c r="E126" s="6"/>
      <c r="F126" s="6"/>
      <c r="G126" s="6">
        <f>((1/4)*((G120-G125)^2+(G121-G125)^2+(G122-G125)^2+(G123-G125)^2+(G124-G125)^2))^(1/2)</f>
        <v>0.21714096803689573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26" sqref="D26"/>
    </sheetView>
  </sheetViews>
  <sheetFormatPr defaultColWidth="11.421875" defaultRowHeight="12.75"/>
  <cols>
    <col min="1" max="1" width="12.421875" style="0" customWidth="1"/>
    <col min="2" max="2" width="8.28125" style="0" customWidth="1"/>
    <col min="3" max="3" width="7.7109375" style="0" customWidth="1"/>
  </cols>
  <sheetData>
    <row r="1" spans="1:5" ht="15.75">
      <c r="A1" s="1" t="s">
        <v>70</v>
      </c>
      <c r="B1" s="51"/>
      <c r="C1" s="51"/>
      <c r="D1" s="51"/>
      <c r="E1" s="2"/>
    </row>
    <row r="3" spans="1:3" ht="12.75">
      <c r="A3" s="3" t="s">
        <v>71</v>
      </c>
      <c r="B3" s="46" t="s">
        <v>72</v>
      </c>
      <c r="C3" s="46" t="s">
        <v>73</v>
      </c>
    </row>
    <row r="4" spans="1:3" ht="12.75">
      <c r="A4" s="47" t="s">
        <v>74</v>
      </c>
      <c r="B4" s="48">
        <v>5</v>
      </c>
      <c r="C4" s="49">
        <f>(B4/342)*100</f>
        <v>1.461988304093567</v>
      </c>
    </row>
    <row r="5" spans="1:3" ht="12.75">
      <c r="A5" s="47" t="s">
        <v>75</v>
      </c>
      <c r="B5" s="48">
        <v>13</v>
      </c>
      <c r="C5" s="49">
        <f aca="true" t="shared" si="0" ref="C5:C16">(B5/342)*100</f>
        <v>3.8011695906432745</v>
      </c>
    </row>
    <row r="6" spans="1:3" ht="12.75">
      <c r="A6" s="47" t="s">
        <v>76</v>
      </c>
      <c r="B6" s="48">
        <v>32</v>
      </c>
      <c r="C6" s="49">
        <f t="shared" si="0"/>
        <v>9.35672514619883</v>
      </c>
    </row>
    <row r="7" spans="1:3" ht="12.75">
      <c r="A7" s="47" t="s">
        <v>77</v>
      </c>
      <c r="B7" s="48">
        <v>35</v>
      </c>
      <c r="C7" s="49">
        <f t="shared" si="0"/>
        <v>10.23391812865497</v>
      </c>
    </row>
    <row r="8" spans="1:3" ht="12.75">
      <c r="A8" s="47" t="s">
        <v>78</v>
      </c>
      <c r="B8" s="48">
        <v>45</v>
      </c>
      <c r="C8" s="49">
        <f t="shared" si="0"/>
        <v>13.157894736842104</v>
      </c>
    </row>
    <row r="9" spans="1:3" ht="12.75">
      <c r="A9" s="47" t="s">
        <v>79</v>
      </c>
      <c r="B9" s="48">
        <v>37</v>
      </c>
      <c r="C9" s="49">
        <f t="shared" si="0"/>
        <v>10.818713450292398</v>
      </c>
    </row>
    <row r="10" spans="1:3" ht="12.75">
      <c r="A10" s="47" t="s">
        <v>80</v>
      </c>
      <c r="B10" s="48">
        <v>42</v>
      </c>
      <c r="C10" s="49">
        <f t="shared" si="0"/>
        <v>12.280701754385964</v>
      </c>
    </row>
    <row r="11" spans="1:3" ht="12.75">
      <c r="A11" s="47" t="s">
        <v>81</v>
      </c>
      <c r="B11" s="48">
        <v>33</v>
      </c>
      <c r="C11" s="49">
        <f t="shared" si="0"/>
        <v>9.649122807017543</v>
      </c>
    </row>
    <row r="12" spans="1:3" ht="12.75">
      <c r="A12" s="47" t="s">
        <v>82</v>
      </c>
      <c r="B12" s="48">
        <v>30</v>
      </c>
      <c r="C12" s="49">
        <f t="shared" si="0"/>
        <v>8.771929824561402</v>
      </c>
    </row>
    <row r="13" spans="1:3" ht="12.75">
      <c r="A13" s="47" t="s">
        <v>83</v>
      </c>
      <c r="B13" s="48">
        <v>29</v>
      </c>
      <c r="C13" s="49">
        <f t="shared" si="0"/>
        <v>8.47953216374269</v>
      </c>
    </row>
    <row r="14" spans="1:3" ht="12.75">
      <c r="A14" s="47" t="s">
        <v>84</v>
      </c>
      <c r="B14" s="48">
        <v>27</v>
      </c>
      <c r="C14" s="49">
        <f t="shared" si="0"/>
        <v>7.894736842105263</v>
      </c>
    </row>
    <row r="15" spans="1:3" ht="12.75">
      <c r="A15" s="47" t="s">
        <v>85</v>
      </c>
      <c r="B15" s="48">
        <v>11</v>
      </c>
      <c r="C15" s="49">
        <f t="shared" si="0"/>
        <v>3.216374269005848</v>
      </c>
    </row>
    <row r="16" spans="1:3" ht="12.75">
      <c r="A16" s="47" t="s">
        <v>86</v>
      </c>
      <c r="B16" s="48">
        <v>3</v>
      </c>
      <c r="C16" s="49">
        <f t="shared" si="0"/>
        <v>0.8771929824561403</v>
      </c>
    </row>
    <row r="19" spans="1:6" ht="15.75">
      <c r="A19" s="1" t="s">
        <v>87</v>
      </c>
      <c r="B19" s="51"/>
      <c r="C19" s="51"/>
      <c r="D19" s="51"/>
      <c r="E19" s="51"/>
      <c r="F19" s="2"/>
    </row>
    <row r="21" spans="1:3" ht="12.75">
      <c r="A21" s="3" t="s">
        <v>71</v>
      </c>
      <c r="B21" s="46" t="s">
        <v>72</v>
      </c>
      <c r="C21" s="46" t="s">
        <v>73</v>
      </c>
    </row>
    <row r="22" spans="1:3" ht="12.75">
      <c r="A22" s="52" t="s">
        <v>88</v>
      </c>
      <c r="B22" s="4">
        <v>1</v>
      </c>
      <c r="C22" s="49">
        <f>(B22/123)*100</f>
        <v>0.8130081300813009</v>
      </c>
    </row>
    <row r="23" spans="1:3" ht="12.75">
      <c r="A23" s="52" t="s">
        <v>89</v>
      </c>
      <c r="B23" s="4">
        <v>2</v>
      </c>
      <c r="C23" s="49">
        <f aca="true" t="shared" si="1" ref="C23:C32">(B23/123)*100</f>
        <v>1.6260162601626018</v>
      </c>
    </row>
    <row r="24" spans="1:3" ht="12.75">
      <c r="A24" s="52" t="s">
        <v>90</v>
      </c>
      <c r="B24" s="4">
        <v>6</v>
      </c>
      <c r="C24" s="49">
        <f t="shared" si="1"/>
        <v>4.878048780487805</v>
      </c>
    </row>
    <row r="25" spans="1:3" ht="12.75">
      <c r="A25" s="52" t="s">
        <v>91</v>
      </c>
      <c r="B25" s="4">
        <v>3</v>
      </c>
      <c r="C25" s="49">
        <f t="shared" si="1"/>
        <v>2.4390243902439024</v>
      </c>
    </row>
    <row r="26" spans="1:3" ht="12.75">
      <c r="A26" s="52" t="s">
        <v>92</v>
      </c>
      <c r="B26" s="4">
        <v>8</v>
      </c>
      <c r="C26" s="49">
        <f t="shared" si="1"/>
        <v>6.504065040650407</v>
      </c>
    </row>
    <row r="27" spans="1:3" ht="12.75">
      <c r="A27" s="52" t="s">
        <v>93</v>
      </c>
      <c r="B27" s="4">
        <v>19</v>
      </c>
      <c r="C27" s="49">
        <f t="shared" si="1"/>
        <v>15.447154471544716</v>
      </c>
    </row>
    <row r="28" spans="1:3" ht="12.75">
      <c r="A28" s="52" t="s">
        <v>94</v>
      </c>
      <c r="B28" s="4">
        <v>18</v>
      </c>
      <c r="C28" s="49">
        <f t="shared" si="1"/>
        <v>14.634146341463413</v>
      </c>
    </row>
    <row r="29" spans="1:3" ht="12.75">
      <c r="A29" s="52" t="s">
        <v>95</v>
      </c>
      <c r="B29" s="4">
        <v>31</v>
      </c>
      <c r="C29" s="49">
        <f t="shared" si="1"/>
        <v>25.203252032520325</v>
      </c>
    </row>
    <row r="30" spans="1:3" ht="12.75">
      <c r="A30" s="52" t="s">
        <v>96</v>
      </c>
      <c r="B30" s="4">
        <v>20</v>
      </c>
      <c r="C30" s="49">
        <f t="shared" si="1"/>
        <v>16.260162601626014</v>
      </c>
    </row>
    <row r="31" spans="1:3" ht="12.75">
      <c r="A31" s="52" t="s">
        <v>97</v>
      </c>
      <c r="B31" s="4">
        <v>14</v>
      </c>
      <c r="C31" s="49">
        <f t="shared" si="1"/>
        <v>11.38211382113821</v>
      </c>
    </row>
    <row r="32" spans="1:3" ht="12.75">
      <c r="A32" s="52" t="s">
        <v>98</v>
      </c>
      <c r="B32" s="4">
        <v>1</v>
      </c>
      <c r="C32" s="49">
        <f t="shared" si="1"/>
        <v>0.8130081300813009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0">
      <selection activeCell="E29" sqref="E29"/>
    </sheetView>
  </sheetViews>
  <sheetFormatPr defaultColWidth="11.421875" defaultRowHeight="12.75"/>
  <cols>
    <col min="1" max="1" width="13.8515625" style="0" customWidth="1"/>
    <col min="2" max="2" width="8.421875" style="0" customWidth="1"/>
    <col min="3" max="3" width="7.8515625" style="0" customWidth="1"/>
  </cols>
  <sheetData>
    <row r="1" spans="1:6" ht="15.75">
      <c r="A1" s="1" t="s">
        <v>99</v>
      </c>
      <c r="B1" s="51"/>
      <c r="C1" s="51"/>
      <c r="D1" s="51"/>
      <c r="E1" s="51"/>
      <c r="F1" s="2"/>
    </row>
    <row r="3" spans="1:3" ht="12.75">
      <c r="A3" s="3" t="s">
        <v>100</v>
      </c>
      <c r="B3" s="3" t="s">
        <v>72</v>
      </c>
      <c r="C3" s="3" t="s">
        <v>73</v>
      </c>
    </row>
    <row r="4" spans="1:3" ht="12.75">
      <c r="A4" s="47" t="s">
        <v>101</v>
      </c>
      <c r="B4" s="4">
        <v>14</v>
      </c>
      <c r="C4" s="49">
        <f>(B4/315)*100</f>
        <v>4.444444444444445</v>
      </c>
    </row>
    <row r="5" spans="1:3" ht="12.75">
      <c r="A5" s="47" t="s">
        <v>102</v>
      </c>
      <c r="B5" s="4">
        <v>22</v>
      </c>
      <c r="C5" s="49">
        <f aca="true" t="shared" si="0" ref="C5:C21">(B5/315)*100</f>
        <v>6.984126984126984</v>
      </c>
    </row>
    <row r="6" spans="1:3" ht="12.75">
      <c r="A6" s="47" t="s">
        <v>103</v>
      </c>
      <c r="B6" s="4">
        <v>10</v>
      </c>
      <c r="C6" s="49">
        <f t="shared" si="0"/>
        <v>3.1746031746031744</v>
      </c>
    </row>
    <row r="7" spans="1:3" ht="12.75">
      <c r="A7" s="47" t="s">
        <v>104</v>
      </c>
      <c r="B7" s="4">
        <v>55</v>
      </c>
      <c r="C7" s="49">
        <f t="shared" si="0"/>
        <v>17.46031746031746</v>
      </c>
    </row>
    <row r="8" spans="1:3" ht="12.75">
      <c r="A8" s="47" t="s">
        <v>105</v>
      </c>
      <c r="B8" s="4">
        <v>63</v>
      </c>
      <c r="C8" s="49">
        <f t="shared" si="0"/>
        <v>20</v>
      </c>
    </row>
    <row r="9" spans="1:3" ht="12.75">
      <c r="A9" s="47" t="s">
        <v>106</v>
      </c>
      <c r="B9" s="4">
        <v>38</v>
      </c>
      <c r="C9" s="49">
        <f t="shared" si="0"/>
        <v>12.063492063492063</v>
      </c>
    </row>
    <row r="10" spans="1:3" ht="12.75">
      <c r="A10" s="47" t="s">
        <v>107</v>
      </c>
      <c r="B10" s="4">
        <v>30</v>
      </c>
      <c r="C10" s="49">
        <f t="shared" si="0"/>
        <v>9.523809523809524</v>
      </c>
    </row>
    <row r="11" spans="1:3" ht="12.75">
      <c r="A11" s="47" t="s">
        <v>108</v>
      </c>
      <c r="B11" s="4">
        <v>39</v>
      </c>
      <c r="C11" s="49">
        <f t="shared" si="0"/>
        <v>12.380952380952381</v>
      </c>
    </row>
    <row r="12" spans="1:3" ht="12.75">
      <c r="A12" s="47" t="s">
        <v>109</v>
      </c>
      <c r="B12" s="4">
        <v>9</v>
      </c>
      <c r="C12" s="49">
        <f t="shared" si="0"/>
        <v>2.857142857142857</v>
      </c>
    </row>
    <row r="13" spans="1:3" ht="12.75">
      <c r="A13" s="47" t="s">
        <v>110</v>
      </c>
      <c r="B13" s="4">
        <v>4</v>
      </c>
      <c r="C13" s="49">
        <f t="shared" si="0"/>
        <v>1.2698412698412698</v>
      </c>
    </row>
    <row r="14" spans="1:3" ht="12.75">
      <c r="A14" s="47" t="s">
        <v>111</v>
      </c>
      <c r="B14" s="4">
        <v>1</v>
      </c>
      <c r="C14" s="49">
        <f t="shared" si="0"/>
        <v>0.31746031746031744</v>
      </c>
    </row>
    <row r="15" spans="1:3" ht="12.75">
      <c r="A15" s="50" t="s">
        <v>112</v>
      </c>
      <c r="B15" s="41">
        <v>0</v>
      </c>
      <c r="C15" s="49">
        <f t="shared" si="0"/>
        <v>0</v>
      </c>
    </row>
    <row r="16" spans="1:3" ht="12.75">
      <c r="A16" s="50" t="s">
        <v>113</v>
      </c>
      <c r="B16" s="41">
        <v>0</v>
      </c>
      <c r="C16" s="49">
        <f t="shared" si="0"/>
        <v>0</v>
      </c>
    </row>
    <row r="17" spans="1:3" ht="12.75">
      <c r="A17" s="50" t="s">
        <v>114</v>
      </c>
      <c r="B17" s="41">
        <v>0</v>
      </c>
      <c r="C17" s="49">
        <f t="shared" si="0"/>
        <v>0</v>
      </c>
    </row>
    <row r="18" spans="1:3" ht="12.75">
      <c r="A18" s="50" t="s">
        <v>115</v>
      </c>
      <c r="B18" s="41">
        <v>2</v>
      </c>
      <c r="C18" s="49">
        <f t="shared" si="0"/>
        <v>0.6349206349206349</v>
      </c>
    </row>
    <row r="19" spans="1:3" ht="12.75">
      <c r="A19" s="50" t="s">
        <v>116</v>
      </c>
      <c r="B19" s="41">
        <v>9</v>
      </c>
      <c r="C19" s="49">
        <f t="shared" si="0"/>
        <v>2.857142857142857</v>
      </c>
    </row>
    <row r="20" spans="1:3" ht="12.75">
      <c r="A20" s="50" t="s">
        <v>117</v>
      </c>
      <c r="B20" s="41">
        <v>12</v>
      </c>
      <c r="C20" s="49">
        <f t="shared" si="0"/>
        <v>3.8095238095238098</v>
      </c>
    </row>
    <row r="21" spans="1:3" ht="12.75">
      <c r="A21" s="50" t="s">
        <v>118</v>
      </c>
      <c r="B21" s="41">
        <v>7</v>
      </c>
      <c r="C21" s="49">
        <f t="shared" si="0"/>
        <v>2.2222222222222223</v>
      </c>
    </row>
    <row r="24" spans="1:6" ht="15.75">
      <c r="A24" s="1" t="s">
        <v>99</v>
      </c>
      <c r="B24" s="51"/>
      <c r="C24" s="51"/>
      <c r="D24" s="51"/>
      <c r="E24" s="51"/>
      <c r="F24" s="2"/>
    </row>
    <row r="26" spans="1:3" ht="12.75">
      <c r="A26" s="3" t="s">
        <v>100</v>
      </c>
      <c r="B26" s="3" t="s">
        <v>72</v>
      </c>
      <c r="C26" s="3" t="s">
        <v>73</v>
      </c>
    </row>
    <row r="27" spans="1:3" ht="12.75">
      <c r="A27" s="5">
        <v>34</v>
      </c>
      <c r="B27" s="4">
        <v>6</v>
      </c>
      <c r="C27" s="49">
        <f>(B27/125)*100</f>
        <v>4.8</v>
      </c>
    </row>
    <row r="28" spans="1:3" ht="12.75">
      <c r="A28" s="5">
        <v>35</v>
      </c>
      <c r="B28" s="4">
        <v>11</v>
      </c>
      <c r="C28" s="49">
        <f aca="true" t="shared" si="1" ref="C28:C49">(B28/125)*100</f>
        <v>8.799999999999999</v>
      </c>
    </row>
    <row r="29" spans="1:3" ht="12.75">
      <c r="A29" s="5">
        <v>36</v>
      </c>
      <c r="B29" s="4">
        <v>17</v>
      </c>
      <c r="C29" s="49">
        <f t="shared" si="1"/>
        <v>13.600000000000001</v>
      </c>
    </row>
    <row r="30" spans="1:3" ht="12.75">
      <c r="A30" s="5">
        <v>37</v>
      </c>
      <c r="B30" s="4">
        <v>21</v>
      </c>
      <c r="C30" s="49">
        <f t="shared" si="1"/>
        <v>16.8</v>
      </c>
    </row>
    <row r="31" spans="1:3" ht="12.75">
      <c r="A31" s="5">
        <v>38</v>
      </c>
      <c r="B31" s="4">
        <v>9</v>
      </c>
      <c r="C31" s="49">
        <f t="shared" si="1"/>
        <v>7.199999999999999</v>
      </c>
    </row>
    <row r="32" spans="1:3" ht="12.75">
      <c r="A32" s="5">
        <v>39</v>
      </c>
      <c r="B32" s="4">
        <v>20</v>
      </c>
      <c r="C32" s="49">
        <f t="shared" si="1"/>
        <v>16</v>
      </c>
    </row>
    <row r="33" spans="1:3" ht="12.75">
      <c r="A33" s="5">
        <v>40</v>
      </c>
      <c r="B33" s="4">
        <v>5</v>
      </c>
      <c r="C33" s="49">
        <f t="shared" si="1"/>
        <v>4</v>
      </c>
    </row>
    <row r="34" spans="1:3" ht="12.75">
      <c r="A34" s="5">
        <v>41</v>
      </c>
      <c r="B34" s="4">
        <v>9</v>
      </c>
      <c r="C34" s="49">
        <f t="shared" si="1"/>
        <v>7.199999999999999</v>
      </c>
    </row>
    <row r="35" spans="1:3" ht="12.75">
      <c r="A35" s="5">
        <v>42</v>
      </c>
      <c r="B35" s="4">
        <v>3</v>
      </c>
      <c r="C35" s="49">
        <f t="shared" si="1"/>
        <v>2.4</v>
      </c>
    </row>
    <row r="36" spans="1:3" ht="12.75">
      <c r="A36" s="5">
        <v>43</v>
      </c>
      <c r="B36" s="4">
        <v>2</v>
      </c>
      <c r="C36" s="49">
        <f t="shared" si="1"/>
        <v>1.6</v>
      </c>
    </row>
    <row r="37" spans="1:3" ht="12.75">
      <c r="A37" s="5">
        <v>44</v>
      </c>
      <c r="B37" s="4">
        <v>7</v>
      </c>
      <c r="C37" s="49">
        <f t="shared" si="1"/>
        <v>5.6000000000000005</v>
      </c>
    </row>
    <row r="38" spans="1:3" ht="12.75">
      <c r="A38" s="12">
        <v>45</v>
      </c>
      <c r="B38" s="41">
        <v>0</v>
      </c>
      <c r="C38" s="49">
        <f t="shared" si="1"/>
        <v>0</v>
      </c>
    </row>
    <row r="39" spans="1:3" ht="12.75">
      <c r="A39" s="12">
        <v>46</v>
      </c>
      <c r="B39" s="41">
        <v>0</v>
      </c>
      <c r="C39" s="49">
        <f t="shared" si="1"/>
        <v>0</v>
      </c>
    </row>
    <row r="40" spans="1:3" ht="12.75">
      <c r="A40" s="12">
        <v>47</v>
      </c>
      <c r="B40" s="41">
        <v>0</v>
      </c>
      <c r="C40" s="49">
        <f t="shared" si="1"/>
        <v>0</v>
      </c>
    </row>
    <row r="41" spans="1:3" ht="12.75">
      <c r="A41" s="12">
        <v>48</v>
      </c>
      <c r="B41" s="41">
        <v>0</v>
      </c>
      <c r="C41" s="49">
        <f t="shared" si="1"/>
        <v>0</v>
      </c>
    </row>
    <row r="42" spans="1:3" ht="12.75">
      <c r="A42" s="12">
        <v>49</v>
      </c>
      <c r="B42" s="41">
        <v>0</v>
      </c>
      <c r="C42" s="49">
        <f t="shared" si="1"/>
        <v>0</v>
      </c>
    </row>
    <row r="43" spans="1:3" ht="12.75">
      <c r="A43" s="12">
        <v>50</v>
      </c>
      <c r="B43" s="41">
        <v>0</v>
      </c>
      <c r="C43" s="49">
        <f t="shared" si="1"/>
        <v>0</v>
      </c>
    </row>
    <row r="44" spans="1:3" ht="12.75">
      <c r="A44" s="12">
        <v>51</v>
      </c>
      <c r="B44" s="41">
        <v>0</v>
      </c>
      <c r="C44" s="49">
        <f t="shared" si="1"/>
        <v>0</v>
      </c>
    </row>
    <row r="45" spans="1:3" ht="12.75">
      <c r="A45" s="12">
        <v>52</v>
      </c>
      <c r="B45" s="41">
        <v>0</v>
      </c>
      <c r="C45" s="49">
        <f t="shared" si="1"/>
        <v>0</v>
      </c>
    </row>
    <row r="46" spans="1:3" ht="12.75">
      <c r="A46" s="12">
        <v>53</v>
      </c>
      <c r="B46" s="41">
        <v>1</v>
      </c>
      <c r="C46" s="49">
        <f t="shared" si="1"/>
        <v>0.8</v>
      </c>
    </row>
    <row r="47" spans="1:3" ht="12.75">
      <c r="A47" s="12">
        <v>54</v>
      </c>
      <c r="B47" s="41">
        <v>1</v>
      </c>
      <c r="C47" s="49">
        <f t="shared" si="1"/>
        <v>0.8</v>
      </c>
    </row>
    <row r="48" spans="1:3" ht="12.75">
      <c r="A48" s="12">
        <v>55</v>
      </c>
      <c r="B48" s="41">
        <v>8</v>
      </c>
      <c r="C48" s="49">
        <f t="shared" si="1"/>
        <v>6.4</v>
      </c>
    </row>
    <row r="49" spans="1:3" ht="12.75">
      <c r="A49" s="12">
        <v>56</v>
      </c>
      <c r="B49" s="41">
        <v>5</v>
      </c>
      <c r="C49" s="49">
        <f t="shared" si="1"/>
        <v>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" sqref="A2"/>
    </sheetView>
  </sheetViews>
  <sheetFormatPr defaultColWidth="11.421875" defaultRowHeight="12.75"/>
  <cols>
    <col min="1" max="1" width="7.421875" style="0" customWidth="1"/>
    <col min="2" max="2" width="14.57421875" style="0" customWidth="1"/>
    <col min="3" max="3" width="4.8515625" style="0" customWidth="1"/>
    <col min="4" max="4" width="12.421875" style="0" customWidth="1"/>
    <col min="5" max="5" width="11.140625" style="0" customWidth="1"/>
    <col min="6" max="6" width="10.421875" style="0" customWidth="1"/>
    <col min="7" max="7" width="16.57421875" style="0" customWidth="1"/>
  </cols>
  <sheetData>
    <row r="1" spans="1:7" ht="15.75">
      <c r="A1" s="1" t="s">
        <v>11</v>
      </c>
      <c r="B1" s="2"/>
      <c r="C1" s="2"/>
      <c r="D1" s="2"/>
      <c r="E1" s="2"/>
      <c r="F1" s="2"/>
      <c r="G1" s="2"/>
    </row>
    <row r="3" spans="1:7" ht="12.75">
      <c r="A3" s="3" t="s">
        <v>0</v>
      </c>
      <c r="B3" s="3" t="s">
        <v>1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ht="12.75">
      <c r="A4" s="4">
        <v>1</v>
      </c>
      <c r="B4" s="5">
        <v>20</v>
      </c>
      <c r="C4" s="5">
        <v>1</v>
      </c>
      <c r="D4" s="4">
        <v>128.4</v>
      </c>
      <c r="E4" s="4">
        <v>40.5</v>
      </c>
      <c r="F4" s="4">
        <v>520</v>
      </c>
      <c r="G4" s="4">
        <v>5.646</v>
      </c>
    </row>
    <row r="5" spans="1:7" ht="12.75">
      <c r="A5" s="4">
        <v>7</v>
      </c>
      <c r="B5" s="5">
        <v>20</v>
      </c>
      <c r="C5" s="5">
        <v>2</v>
      </c>
      <c r="D5" s="4">
        <v>126.4</v>
      </c>
      <c r="E5" s="4">
        <v>42.5</v>
      </c>
      <c r="F5" s="4">
        <v>605</v>
      </c>
      <c r="G5" s="4">
        <v>5.37</v>
      </c>
    </row>
    <row r="6" spans="1:7" ht="12.75">
      <c r="A6" s="4">
        <v>11</v>
      </c>
      <c r="B6" s="5">
        <v>20</v>
      </c>
      <c r="C6" s="5">
        <v>3</v>
      </c>
      <c r="D6" s="4">
        <v>126.5</v>
      </c>
      <c r="E6" s="4">
        <v>40.5</v>
      </c>
      <c r="F6" s="4">
        <v>555</v>
      </c>
      <c r="G6" s="4">
        <v>6.64</v>
      </c>
    </row>
    <row r="7" spans="1:7" ht="12.75">
      <c r="A7" s="4">
        <v>14</v>
      </c>
      <c r="B7" s="5">
        <v>20</v>
      </c>
      <c r="C7" s="5">
        <v>4</v>
      </c>
      <c r="D7" s="4">
        <v>129.4</v>
      </c>
      <c r="E7" s="4">
        <v>41</v>
      </c>
      <c r="F7" s="4">
        <v>545</v>
      </c>
      <c r="G7" s="4">
        <v>5.189</v>
      </c>
    </row>
    <row r="8" spans="1:7" ht="12.75">
      <c r="A8" s="4">
        <v>20</v>
      </c>
      <c r="B8" s="5">
        <v>20</v>
      </c>
      <c r="C8" s="5">
        <v>5</v>
      </c>
      <c r="D8" s="4">
        <v>128.7</v>
      </c>
      <c r="E8" s="4">
        <v>39</v>
      </c>
      <c r="F8" s="4">
        <v>610</v>
      </c>
      <c r="G8" s="4">
        <v>6.87</v>
      </c>
    </row>
    <row r="9" spans="1:7" ht="12.75">
      <c r="A9" s="4"/>
      <c r="B9" s="6" t="s">
        <v>6</v>
      </c>
      <c r="C9" s="7"/>
      <c r="D9" s="6">
        <f>SUM(D4:D8)/5</f>
        <v>127.88000000000002</v>
      </c>
      <c r="E9" s="6"/>
      <c r="F9" s="6"/>
      <c r="G9" s="8">
        <f>SUM(G4:G8)/5</f>
        <v>5.943</v>
      </c>
    </row>
    <row r="10" spans="1:7" ht="12.75">
      <c r="A10" s="4"/>
      <c r="B10" s="6" t="s">
        <v>7</v>
      </c>
      <c r="C10" s="7"/>
      <c r="D10" s="6">
        <f>((1/4)*((D4-D9)^2+(D5-D9)^2+(D6-D9)^2+(D7-D9)^2+(D8-D9)^2))^(1/2)</f>
        <v>1.3553597308463892</v>
      </c>
      <c r="E10" s="6"/>
      <c r="F10" s="6"/>
      <c r="G10" s="6">
        <f>((1/4)*((G4-G9)^2+(G5-G9)^2+(G6-G9)^2+(G7-G9)^2+(G8-G9)^2))^(1/2)</f>
        <v>0.7632483213214425</v>
      </c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4">
        <v>2</v>
      </c>
      <c r="B12" s="5">
        <v>50</v>
      </c>
      <c r="C12" s="5">
        <v>1</v>
      </c>
      <c r="D12" s="4">
        <v>123.5</v>
      </c>
      <c r="E12" s="4">
        <v>41</v>
      </c>
      <c r="F12" s="4">
        <v>755</v>
      </c>
      <c r="G12" s="4">
        <v>11.259</v>
      </c>
    </row>
    <row r="13" spans="1:7" ht="12.75">
      <c r="A13" s="4">
        <v>10</v>
      </c>
      <c r="B13" s="5">
        <v>50</v>
      </c>
      <c r="C13" s="5">
        <v>2</v>
      </c>
      <c r="D13" s="4">
        <v>124.9</v>
      </c>
      <c r="E13" s="4">
        <v>41.5</v>
      </c>
      <c r="F13" s="4">
        <v>800</v>
      </c>
      <c r="G13" s="4">
        <v>13.181</v>
      </c>
    </row>
    <row r="14" spans="1:7" ht="12.75">
      <c r="A14" s="4">
        <v>15</v>
      </c>
      <c r="B14" s="5">
        <v>50</v>
      </c>
      <c r="C14" s="5">
        <v>3</v>
      </c>
      <c r="D14" s="4">
        <v>130.5</v>
      </c>
      <c r="E14" s="4">
        <v>39.5</v>
      </c>
      <c r="F14" s="4">
        <v>720</v>
      </c>
      <c r="G14" s="4">
        <v>13.799</v>
      </c>
    </row>
    <row r="15" spans="1:7" ht="12.75">
      <c r="A15" s="4">
        <v>21</v>
      </c>
      <c r="B15" s="5">
        <v>50</v>
      </c>
      <c r="C15" s="5">
        <v>4</v>
      </c>
      <c r="D15" s="4">
        <v>129.8</v>
      </c>
      <c r="E15" s="4">
        <v>39.5</v>
      </c>
      <c r="F15" s="4">
        <v>750</v>
      </c>
      <c r="G15" s="4">
        <v>13.632</v>
      </c>
    </row>
    <row r="16" spans="1:7" ht="12.75">
      <c r="A16" s="4">
        <v>23</v>
      </c>
      <c r="B16" s="5">
        <v>50</v>
      </c>
      <c r="C16" s="5">
        <v>5</v>
      </c>
      <c r="D16" s="4">
        <v>127.2</v>
      </c>
      <c r="E16" s="4">
        <v>39</v>
      </c>
      <c r="F16" s="4">
        <v>770</v>
      </c>
      <c r="G16" s="4">
        <v>12.968</v>
      </c>
    </row>
    <row r="17" spans="1:7" ht="12.75">
      <c r="A17" s="4"/>
      <c r="B17" s="6" t="s">
        <v>6</v>
      </c>
      <c r="C17" s="7"/>
      <c r="D17" s="6">
        <f>SUM(D12:D16)/5</f>
        <v>127.17999999999999</v>
      </c>
      <c r="E17" s="6"/>
      <c r="F17" s="6"/>
      <c r="G17" s="8">
        <f>SUM(G12:G16)/5</f>
        <v>12.9678</v>
      </c>
    </row>
    <row r="18" spans="1:7" ht="12.75">
      <c r="A18" s="4"/>
      <c r="B18" s="6" t="s">
        <v>7</v>
      </c>
      <c r="C18" s="7"/>
      <c r="D18" s="6">
        <f>((1/4)*((D12-D17)^2+(D13-D17)^2+(D14-D17)^2+(D15-D17)^2+(D16-D17)^2))^(1/2)</f>
        <v>3.0260535355475797</v>
      </c>
      <c r="E18" s="6"/>
      <c r="F18" s="6"/>
      <c r="G18" s="6">
        <f>((1/4)*((G12-G17)^2+(G13-G17)^2+(G14-G17)^2+(G15-G17)^2+(G16-G17)^2))^(1/2)</f>
        <v>1.01211496382575</v>
      </c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>
        <v>5</v>
      </c>
      <c r="B20" s="5">
        <v>80</v>
      </c>
      <c r="C20" s="5">
        <v>1</v>
      </c>
      <c r="D20" s="4">
        <v>125.8</v>
      </c>
      <c r="E20" s="4">
        <v>41</v>
      </c>
      <c r="F20" s="4">
        <v>820</v>
      </c>
      <c r="G20" s="4">
        <v>19.314</v>
      </c>
    </row>
    <row r="21" spans="1:7" ht="12.75">
      <c r="A21" s="4">
        <v>6</v>
      </c>
      <c r="B21" s="5">
        <v>80</v>
      </c>
      <c r="C21" s="5">
        <v>2</v>
      </c>
      <c r="D21" s="4">
        <v>127</v>
      </c>
      <c r="E21" s="4">
        <v>41.5</v>
      </c>
      <c r="F21" s="4">
        <v>770</v>
      </c>
      <c r="G21" s="4">
        <v>15.148</v>
      </c>
    </row>
    <row r="22" spans="1:7" ht="12.75">
      <c r="A22" s="4">
        <v>12</v>
      </c>
      <c r="B22" s="5">
        <v>80</v>
      </c>
      <c r="C22" s="5">
        <v>3</v>
      </c>
      <c r="D22" s="4">
        <v>128.5</v>
      </c>
      <c r="E22" s="4">
        <v>40.5</v>
      </c>
      <c r="F22" s="4">
        <v>770</v>
      </c>
      <c r="G22" s="4">
        <v>14.143</v>
      </c>
    </row>
    <row r="23" spans="1:7" ht="12.75">
      <c r="A23" s="4">
        <v>19</v>
      </c>
      <c r="B23" s="5">
        <v>80</v>
      </c>
      <c r="C23" s="5">
        <v>4</v>
      </c>
      <c r="D23" s="4">
        <v>132.9</v>
      </c>
      <c r="E23" s="4">
        <v>39</v>
      </c>
      <c r="F23" s="4">
        <v>758</v>
      </c>
      <c r="G23" s="4">
        <v>16.27</v>
      </c>
    </row>
    <row r="24" spans="1:7" ht="12.75">
      <c r="A24" s="4">
        <v>22</v>
      </c>
      <c r="B24" s="5">
        <v>80</v>
      </c>
      <c r="C24" s="5">
        <v>5</v>
      </c>
      <c r="D24" s="4">
        <v>125.2</v>
      </c>
      <c r="E24" s="4">
        <v>39</v>
      </c>
      <c r="F24" s="4">
        <v>910</v>
      </c>
      <c r="G24" s="4">
        <v>19.674</v>
      </c>
    </row>
    <row r="25" spans="1:7" ht="12.75">
      <c r="A25" s="4"/>
      <c r="B25" s="6" t="s">
        <v>6</v>
      </c>
      <c r="C25" s="7"/>
      <c r="D25" s="6">
        <f>SUM(D20:D24)/5</f>
        <v>127.88000000000002</v>
      </c>
      <c r="E25" s="6"/>
      <c r="F25" s="6"/>
      <c r="G25" s="8">
        <f>SUM(G20:G24)/5</f>
        <v>16.9098</v>
      </c>
    </row>
    <row r="26" spans="1:7" ht="12.75">
      <c r="A26" s="4"/>
      <c r="B26" s="6" t="s">
        <v>7</v>
      </c>
      <c r="C26" s="7"/>
      <c r="D26" s="6">
        <f>((1/4)*((D20-D25)^2+(D21-D25)^2+(D22-D25)^2+(D23-D25)^2+(D24-D25)^2))^(1/2)</f>
        <v>3.076849037570744</v>
      </c>
      <c r="E26" s="6"/>
      <c r="F26" s="6"/>
      <c r="G26" s="6">
        <f>((1/4)*((G20-G25)^2+(G21-G25)^2+(G22-G25)^2+(G23-G25)^2+(G24-G25)^2))^(1/2)</f>
        <v>2.4793872630147957</v>
      </c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>
        <v>3</v>
      </c>
      <c r="B28" s="5">
        <v>150</v>
      </c>
      <c r="C28" s="5">
        <v>1</v>
      </c>
      <c r="D28" s="4">
        <v>122.8</v>
      </c>
      <c r="E28" s="4">
        <v>41</v>
      </c>
      <c r="F28" s="4">
        <v>934</v>
      </c>
      <c r="G28" s="4">
        <v>29.068</v>
      </c>
    </row>
    <row r="29" spans="1:7" ht="12.75">
      <c r="A29" s="4">
        <v>8</v>
      </c>
      <c r="B29" s="5">
        <v>150</v>
      </c>
      <c r="C29" s="5">
        <v>2</v>
      </c>
      <c r="D29" s="4">
        <v>124.6</v>
      </c>
      <c r="E29" s="4">
        <v>42.5</v>
      </c>
      <c r="F29" s="4">
        <v>960</v>
      </c>
      <c r="G29" s="4">
        <v>28.458</v>
      </c>
    </row>
    <row r="30" spans="1:7" ht="12.75">
      <c r="A30" s="4">
        <v>13</v>
      </c>
      <c r="B30" s="5">
        <v>150</v>
      </c>
      <c r="C30" s="5">
        <v>3</v>
      </c>
      <c r="D30" s="4">
        <v>125.6</v>
      </c>
      <c r="E30" s="4">
        <v>41</v>
      </c>
      <c r="F30" s="4">
        <v>938</v>
      </c>
      <c r="G30" s="4">
        <v>27.797</v>
      </c>
    </row>
    <row r="31" spans="1:7" ht="12.75">
      <c r="A31" s="4">
        <v>18</v>
      </c>
      <c r="B31" s="5">
        <v>150</v>
      </c>
      <c r="C31" s="5">
        <v>4</v>
      </c>
      <c r="D31" s="4">
        <v>132.2</v>
      </c>
      <c r="E31" s="4">
        <v>39</v>
      </c>
      <c r="F31" s="4">
        <v>890</v>
      </c>
      <c r="G31" s="4">
        <v>26.908</v>
      </c>
    </row>
    <row r="32" spans="1:7" ht="12.75">
      <c r="A32" s="4">
        <v>24</v>
      </c>
      <c r="B32" s="5">
        <v>150</v>
      </c>
      <c r="C32" s="5">
        <v>5</v>
      </c>
      <c r="D32" s="4">
        <v>130.7</v>
      </c>
      <c r="E32" s="4">
        <v>39</v>
      </c>
      <c r="F32" s="4">
        <v>885</v>
      </c>
      <c r="G32" s="4">
        <v>29.233</v>
      </c>
    </row>
    <row r="33" spans="1:7" ht="12.75">
      <c r="A33" s="4"/>
      <c r="B33" s="6" t="s">
        <v>6</v>
      </c>
      <c r="C33" s="7"/>
      <c r="D33" s="6">
        <f>SUM(D28:D32)/5</f>
        <v>127.17999999999999</v>
      </c>
      <c r="E33" s="6"/>
      <c r="F33" s="6"/>
      <c r="G33" s="8">
        <f>SUM(G28:G32)/5</f>
        <v>28.2928</v>
      </c>
    </row>
    <row r="34" spans="1:7" ht="12.75">
      <c r="A34" s="4"/>
      <c r="B34" s="6" t="s">
        <v>7</v>
      </c>
      <c r="C34" s="7"/>
      <c r="D34" s="6">
        <f>((1/4)*((D28-D33)^2+(D29-D33)^2+(D30-D33)^2+(D31-D33)^2+(D32-D33)^2))^(1/2)</f>
        <v>4.059802950883204</v>
      </c>
      <c r="E34" s="6"/>
      <c r="F34" s="6"/>
      <c r="G34" s="6">
        <f>((1/4)*((G28-G33)^2+(G29-G33)^2+(G30-G33)^2+(G31-G33)^2+(G32-G33)^2))^(1/2)</f>
        <v>0.9586045587206435</v>
      </c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>
        <v>4</v>
      </c>
      <c r="B36" s="5">
        <v>300</v>
      </c>
      <c r="C36" s="5">
        <v>1</v>
      </c>
      <c r="D36" s="4">
        <v>124</v>
      </c>
      <c r="E36" s="4">
        <v>41</v>
      </c>
      <c r="F36" s="4">
        <v>1025</v>
      </c>
      <c r="G36" s="4">
        <v>50.762</v>
      </c>
    </row>
    <row r="37" spans="1:7" ht="12.75">
      <c r="A37" s="4">
        <v>9</v>
      </c>
      <c r="B37" s="5">
        <v>300</v>
      </c>
      <c r="C37" s="5">
        <v>2</v>
      </c>
      <c r="D37" s="4">
        <v>122.2</v>
      </c>
      <c r="E37" s="4">
        <v>42</v>
      </c>
      <c r="F37" s="4">
        <v>1110</v>
      </c>
      <c r="G37" s="4">
        <v>47.501</v>
      </c>
    </row>
    <row r="38" spans="1:7" ht="12.75">
      <c r="A38" s="4">
        <v>16</v>
      </c>
      <c r="B38" s="5">
        <v>300</v>
      </c>
      <c r="C38" s="5">
        <v>3</v>
      </c>
      <c r="D38" s="4">
        <v>127.4</v>
      </c>
      <c r="E38" s="4">
        <v>39</v>
      </c>
      <c r="F38" s="4">
        <v>1090</v>
      </c>
      <c r="G38" s="4">
        <v>47.213</v>
      </c>
    </row>
    <row r="39" spans="1:7" ht="12.75">
      <c r="A39" s="4">
        <v>17</v>
      </c>
      <c r="B39" s="5">
        <v>300</v>
      </c>
      <c r="C39" s="5">
        <v>4</v>
      </c>
      <c r="D39" s="4">
        <v>131.1</v>
      </c>
      <c r="E39" s="4">
        <v>39.5</v>
      </c>
      <c r="F39" s="4">
        <v>1018</v>
      </c>
      <c r="G39" s="4">
        <v>45.972</v>
      </c>
    </row>
    <row r="40" spans="1:7" ht="12.75">
      <c r="A40" s="4">
        <v>25</v>
      </c>
      <c r="B40" s="5">
        <v>300</v>
      </c>
      <c r="C40" s="5">
        <v>5</v>
      </c>
      <c r="D40" s="4">
        <v>127.5</v>
      </c>
      <c r="E40" s="4">
        <v>39</v>
      </c>
      <c r="F40" s="4">
        <v>1088</v>
      </c>
      <c r="G40" s="4">
        <v>47.982</v>
      </c>
    </row>
    <row r="41" spans="1:7" ht="12.75">
      <c r="A41" s="4"/>
      <c r="B41" s="6" t="s">
        <v>6</v>
      </c>
      <c r="C41" s="7"/>
      <c r="D41" s="6">
        <f>SUM(D36:D40)/5</f>
        <v>126.44000000000001</v>
      </c>
      <c r="E41" s="6"/>
      <c r="F41" s="6"/>
      <c r="G41" s="8">
        <f>SUM(G36:G40)/5</f>
        <v>47.886</v>
      </c>
    </row>
    <row r="42" spans="1:7" ht="12.75">
      <c r="A42" s="4"/>
      <c r="B42" s="6" t="s">
        <v>7</v>
      </c>
      <c r="C42" s="7"/>
      <c r="D42" s="6">
        <f>((1/4)*((D36-D41)^2+(D37-D41)^2+(D38-D41)^2+(D39-D41)^2+(D40-D41)^2))^(1/2)</f>
        <v>3.4529697363284235</v>
      </c>
      <c r="E42" s="6"/>
      <c r="F42" s="6"/>
      <c r="G42" s="6">
        <f>((1/4)*((G36-G41)^2+(G37-G41)^2+(G38-G41)^2+(G39-G41)^2+(G40-G41)^2))^(1/2)</f>
        <v>1.7709560977054173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3"/>
  <sheetViews>
    <sheetView workbookViewId="0" topLeftCell="A1">
      <selection activeCell="A224" sqref="A224:H224"/>
    </sheetView>
  </sheetViews>
  <sheetFormatPr defaultColWidth="11.421875" defaultRowHeight="12.75"/>
  <cols>
    <col min="1" max="1" width="7.421875" style="0" customWidth="1"/>
    <col min="2" max="2" width="14.57421875" style="0" customWidth="1"/>
    <col min="3" max="3" width="4.8515625" style="0" customWidth="1"/>
    <col min="4" max="4" width="11.7109375" style="0" customWidth="1"/>
    <col min="5" max="5" width="8.28125" style="0" customWidth="1"/>
    <col min="6" max="6" width="10.57421875" style="0" customWidth="1"/>
    <col min="7" max="7" width="12.57421875" style="0" customWidth="1"/>
    <col min="8" max="8" width="10.421875" style="0" customWidth="1"/>
    <col min="9" max="9" width="16.57421875" style="0" customWidth="1"/>
  </cols>
  <sheetData>
    <row r="1" ht="15.75">
      <c r="A1" s="1" t="s">
        <v>24</v>
      </c>
    </row>
    <row r="2" spans="1:1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9" ht="12.75">
      <c r="A3" s="3" t="s">
        <v>0</v>
      </c>
      <c r="B3" s="3" t="s">
        <v>1</v>
      </c>
      <c r="C3" s="3" t="s">
        <v>9</v>
      </c>
      <c r="D3" s="3" t="s">
        <v>12</v>
      </c>
      <c r="E3" s="3" t="s">
        <v>13</v>
      </c>
      <c r="F3" s="3" t="s">
        <v>14</v>
      </c>
      <c r="G3" s="3" t="s">
        <v>2</v>
      </c>
      <c r="H3" s="3" t="s">
        <v>4</v>
      </c>
      <c r="I3" s="3" t="s">
        <v>5</v>
      </c>
    </row>
    <row r="4" spans="1:9" ht="12.75">
      <c r="A4" s="4">
        <v>4</v>
      </c>
      <c r="B4" s="5">
        <v>5</v>
      </c>
      <c r="C4" s="5">
        <v>1</v>
      </c>
      <c r="D4" s="5">
        <v>5</v>
      </c>
      <c r="E4" s="5">
        <v>1</v>
      </c>
      <c r="F4" s="4">
        <v>39</v>
      </c>
      <c r="G4" s="4">
        <v>112.2</v>
      </c>
      <c r="H4" s="4">
        <v>120</v>
      </c>
      <c r="I4" s="4">
        <v>0.904</v>
      </c>
    </row>
    <row r="5" spans="1:9" ht="12.75">
      <c r="A5" s="4">
        <v>5</v>
      </c>
      <c r="B5" s="5">
        <v>5</v>
      </c>
      <c r="C5" s="5">
        <v>2</v>
      </c>
      <c r="D5" s="5">
        <v>5</v>
      </c>
      <c r="E5" s="5">
        <v>1</v>
      </c>
      <c r="F5" s="4">
        <v>39</v>
      </c>
      <c r="G5" s="4">
        <v>109.7</v>
      </c>
      <c r="H5" s="4">
        <v>135</v>
      </c>
      <c r="I5" s="4">
        <v>1.203</v>
      </c>
    </row>
    <row r="6" spans="1:9" ht="12.75">
      <c r="A6" s="4">
        <v>12</v>
      </c>
      <c r="B6" s="5">
        <v>5</v>
      </c>
      <c r="C6" s="5">
        <v>3</v>
      </c>
      <c r="D6" s="5">
        <v>5</v>
      </c>
      <c r="E6" s="5">
        <v>1</v>
      </c>
      <c r="F6" s="4">
        <v>39</v>
      </c>
      <c r="G6" s="4">
        <v>105.8</v>
      </c>
      <c r="H6" s="4">
        <v>150</v>
      </c>
      <c r="I6" s="4">
        <v>1.324</v>
      </c>
    </row>
    <row r="7" spans="1:9" ht="12.75">
      <c r="A7" s="4">
        <v>13</v>
      </c>
      <c r="B7" s="5">
        <v>5</v>
      </c>
      <c r="C7" s="5">
        <v>4</v>
      </c>
      <c r="D7" s="5">
        <v>5</v>
      </c>
      <c r="E7" s="5">
        <v>1</v>
      </c>
      <c r="F7" s="4">
        <v>39</v>
      </c>
      <c r="G7" s="4">
        <v>107</v>
      </c>
      <c r="H7" s="4">
        <v>133</v>
      </c>
      <c r="I7" s="4">
        <v>1.266</v>
      </c>
    </row>
    <row r="8" spans="1:9" ht="12.75">
      <c r="A8" s="4">
        <v>19</v>
      </c>
      <c r="B8" s="5">
        <v>5</v>
      </c>
      <c r="C8" s="5">
        <v>5</v>
      </c>
      <c r="D8" s="5">
        <v>5</v>
      </c>
      <c r="E8" s="5">
        <v>1</v>
      </c>
      <c r="F8" s="4">
        <v>39</v>
      </c>
      <c r="G8" s="4">
        <v>106</v>
      </c>
      <c r="H8" s="4">
        <v>157</v>
      </c>
      <c r="I8" s="4">
        <v>1.201</v>
      </c>
    </row>
    <row r="9" spans="1:9" ht="12.75">
      <c r="A9" s="4"/>
      <c r="B9" s="10" t="s">
        <v>6</v>
      </c>
      <c r="C9" s="5"/>
      <c r="D9" s="5"/>
      <c r="E9" s="5"/>
      <c r="F9" s="4"/>
      <c r="G9" s="6">
        <f>SUM(G4:G8)/5</f>
        <v>108.14000000000001</v>
      </c>
      <c r="H9" s="6"/>
      <c r="I9" s="8">
        <f>SUM(I4:I8)/5</f>
        <v>1.1796</v>
      </c>
    </row>
    <row r="10" spans="1:9" ht="12.75">
      <c r="A10" s="4"/>
      <c r="B10" s="10" t="s">
        <v>7</v>
      </c>
      <c r="C10" s="5"/>
      <c r="D10" s="5"/>
      <c r="E10" s="5"/>
      <c r="F10" s="4"/>
      <c r="G10" s="6">
        <f>((1/4)*((G4-G9)^2+(G5-G9)^2+(G6-G9)^2+(G7-G9)^2+(G8-G9)^2))^(1/2)</f>
        <v>2.750999818247906</v>
      </c>
      <c r="H10" s="6"/>
      <c r="I10" s="6">
        <f>((1/4)*((I4-I9)^2+(I5-I9)^2+(I6-I9)^2+(I7-I9)^2+(I8-I9)^2))^(1/2)</f>
        <v>0.1622322409387234</v>
      </c>
    </row>
    <row r="11" spans="1:9" ht="12.75">
      <c r="A11" s="4"/>
      <c r="B11" s="10" t="s">
        <v>15</v>
      </c>
      <c r="C11" s="5"/>
      <c r="D11" s="5"/>
      <c r="E11" s="5"/>
      <c r="F11" s="4"/>
      <c r="G11" s="6">
        <f>((G9/104.38)-1)*100</f>
        <v>3.602222648016884</v>
      </c>
      <c r="H11" s="6"/>
      <c r="I11" s="6">
        <f>((I9/0.8104)-1)*100</f>
        <v>45.55774925962488</v>
      </c>
    </row>
    <row r="12" spans="1:9" ht="12.75">
      <c r="A12" s="4">
        <v>1</v>
      </c>
      <c r="B12" s="5">
        <v>20</v>
      </c>
      <c r="C12" s="5">
        <v>1</v>
      </c>
      <c r="D12" s="5">
        <v>5</v>
      </c>
      <c r="E12" s="5">
        <v>1</v>
      </c>
      <c r="F12" s="4">
        <v>39</v>
      </c>
      <c r="G12" s="4">
        <v>110</v>
      </c>
      <c r="H12" s="4">
        <v>180</v>
      </c>
      <c r="I12" s="4">
        <v>3.146</v>
      </c>
    </row>
    <row r="13" spans="1:9" ht="12.75">
      <c r="A13" s="4">
        <v>8</v>
      </c>
      <c r="B13" s="5">
        <v>20</v>
      </c>
      <c r="C13" s="5">
        <v>2</v>
      </c>
      <c r="D13" s="5">
        <v>5</v>
      </c>
      <c r="E13" s="5">
        <v>1</v>
      </c>
      <c r="F13" s="4">
        <v>39</v>
      </c>
      <c r="G13" s="4">
        <v>111.9</v>
      </c>
      <c r="H13" s="4">
        <v>168</v>
      </c>
      <c r="I13" s="4">
        <v>3.285</v>
      </c>
    </row>
    <row r="14" spans="1:9" ht="12.75">
      <c r="A14" s="4">
        <v>11</v>
      </c>
      <c r="B14" s="5">
        <v>20</v>
      </c>
      <c r="C14" s="5">
        <v>3</v>
      </c>
      <c r="D14" s="5">
        <v>5</v>
      </c>
      <c r="E14" s="5">
        <v>1</v>
      </c>
      <c r="F14" s="4">
        <v>39</v>
      </c>
      <c r="G14" s="4">
        <v>110.1</v>
      </c>
      <c r="H14" s="4">
        <v>181</v>
      </c>
      <c r="I14" s="4">
        <v>3.408</v>
      </c>
    </row>
    <row r="15" spans="1:9" ht="12.75">
      <c r="A15" s="4">
        <v>16</v>
      </c>
      <c r="B15" s="5">
        <v>20</v>
      </c>
      <c r="C15" s="5">
        <v>4</v>
      </c>
      <c r="D15" s="5">
        <v>5</v>
      </c>
      <c r="E15" s="5">
        <v>1</v>
      </c>
      <c r="F15" s="4">
        <v>39</v>
      </c>
      <c r="G15" s="4">
        <v>107.7</v>
      </c>
      <c r="H15" s="4">
        <v>204</v>
      </c>
      <c r="I15" s="4">
        <v>3.674</v>
      </c>
    </row>
    <row r="16" spans="1:9" ht="12.75">
      <c r="A16" s="4">
        <v>17</v>
      </c>
      <c r="B16" s="5">
        <v>20</v>
      </c>
      <c r="C16" s="5">
        <v>5</v>
      </c>
      <c r="D16" s="5">
        <v>5</v>
      </c>
      <c r="E16" s="5">
        <v>1</v>
      </c>
      <c r="F16" s="4">
        <v>39</v>
      </c>
      <c r="G16" s="4">
        <v>107.9</v>
      </c>
      <c r="H16" s="4">
        <v>204</v>
      </c>
      <c r="I16" s="4">
        <v>3.618</v>
      </c>
    </row>
    <row r="17" spans="1:9" ht="12.75">
      <c r="A17" s="4"/>
      <c r="B17" s="10" t="s">
        <v>6</v>
      </c>
      <c r="C17" s="5"/>
      <c r="D17" s="5"/>
      <c r="E17" s="5"/>
      <c r="F17" s="4"/>
      <c r="G17" s="6">
        <f>SUM(G12:G16)/5</f>
        <v>109.52000000000001</v>
      </c>
      <c r="H17" s="6"/>
      <c r="I17" s="8">
        <f>SUM(I12:I16)/5</f>
        <v>3.4262</v>
      </c>
    </row>
    <row r="18" spans="1:9" ht="12.75">
      <c r="A18" s="4"/>
      <c r="B18" s="10" t="s">
        <v>7</v>
      </c>
      <c r="C18" s="5"/>
      <c r="D18" s="5"/>
      <c r="E18" s="5"/>
      <c r="F18" s="4"/>
      <c r="G18" s="6">
        <f>((1/4)*((G12-G17)^2+(G13-G17)^2+(G14-G17)^2+(G15-G17)^2+(G16-G17)^2))^(1/2)</f>
        <v>1.7441330224498355</v>
      </c>
      <c r="H18" s="6"/>
      <c r="I18" s="6">
        <f>((1/4)*((I12-I17)^2+(I13-I17)^2+(I14-I17)^2+(I15-I17)^2+(I16-I17)^2))^(1/2)</f>
        <v>0.22190808908194398</v>
      </c>
    </row>
    <row r="19" spans="1:9" ht="12.75">
      <c r="A19" s="4"/>
      <c r="B19" s="10" t="s">
        <v>15</v>
      </c>
      <c r="C19" s="5"/>
      <c r="D19" s="5"/>
      <c r="E19" s="5"/>
      <c r="F19" s="4"/>
      <c r="G19" s="6">
        <f>((G17/100.76)-1)*100</f>
        <v>8.693926161175082</v>
      </c>
      <c r="H19" s="6"/>
      <c r="I19" s="6">
        <f>((I17/2.6332)-1)*100</f>
        <v>30.115448883487783</v>
      </c>
    </row>
    <row r="20" spans="1:9" ht="12.75">
      <c r="A20" s="4">
        <v>2</v>
      </c>
      <c r="B20" s="5">
        <v>50</v>
      </c>
      <c r="C20" s="5">
        <v>1</v>
      </c>
      <c r="D20" s="5">
        <v>5</v>
      </c>
      <c r="E20" s="5">
        <v>1</v>
      </c>
      <c r="F20" s="4">
        <v>39</v>
      </c>
      <c r="G20" s="4">
        <v>109.4</v>
      </c>
      <c r="H20" s="4">
        <v>228</v>
      </c>
      <c r="I20" s="4">
        <v>5.783</v>
      </c>
    </row>
    <row r="21" spans="1:9" ht="12.75">
      <c r="A21" s="4">
        <v>7</v>
      </c>
      <c r="B21" s="5">
        <v>50</v>
      </c>
      <c r="C21" s="5">
        <v>2</v>
      </c>
      <c r="D21" s="5">
        <v>5</v>
      </c>
      <c r="E21" s="5">
        <v>1</v>
      </c>
      <c r="F21" s="4">
        <v>39</v>
      </c>
      <c r="G21" s="4">
        <v>108.5</v>
      </c>
      <c r="H21" s="4">
        <v>224</v>
      </c>
      <c r="I21" s="4">
        <v>6.048</v>
      </c>
    </row>
    <row r="22" spans="1:9" ht="12.75">
      <c r="A22" s="4">
        <v>9</v>
      </c>
      <c r="B22" s="5">
        <v>50</v>
      </c>
      <c r="C22" s="5">
        <v>3</v>
      </c>
      <c r="D22" s="5">
        <v>5</v>
      </c>
      <c r="E22" s="5">
        <v>1</v>
      </c>
      <c r="F22" s="4">
        <v>39</v>
      </c>
      <c r="G22" s="4">
        <v>108.8</v>
      </c>
      <c r="H22" s="4">
        <v>232</v>
      </c>
      <c r="I22" s="4">
        <v>6.106</v>
      </c>
    </row>
    <row r="23" spans="1:9" ht="12.75">
      <c r="A23" s="4">
        <v>14</v>
      </c>
      <c r="B23" s="5">
        <v>50</v>
      </c>
      <c r="C23" s="5">
        <v>4</v>
      </c>
      <c r="D23" s="5">
        <v>5</v>
      </c>
      <c r="E23" s="5">
        <v>1</v>
      </c>
      <c r="F23" s="4">
        <v>39</v>
      </c>
      <c r="G23" s="4">
        <v>103.3</v>
      </c>
      <c r="H23" s="4">
        <v>264</v>
      </c>
      <c r="I23" s="4">
        <v>5.921</v>
      </c>
    </row>
    <row r="24" spans="1:9" ht="12.75">
      <c r="A24" s="4">
        <v>18</v>
      </c>
      <c r="B24" s="5">
        <v>50</v>
      </c>
      <c r="C24" s="5">
        <v>5</v>
      </c>
      <c r="D24" s="5">
        <v>5</v>
      </c>
      <c r="E24" s="5">
        <v>1</v>
      </c>
      <c r="F24" s="4">
        <v>39</v>
      </c>
      <c r="G24" s="4">
        <v>108.6</v>
      </c>
      <c r="H24" s="4">
        <v>234</v>
      </c>
      <c r="I24" s="4">
        <v>6.041</v>
      </c>
    </row>
    <row r="25" spans="1:9" ht="12.75">
      <c r="A25" s="4"/>
      <c r="B25" s="10" t="s">
        <v>6</v>
      </c>
      <c r="C25" s="5"/>
      <c r="D25" s="5"/>
      <c r="E25" s="5"/>
      <c r="F25" s="4"/>
      <c r="G25" s="6">
        <f>SUM(G20:G24)/5</f>
        <v>107.72</v>
      </c>
      <c r="H25" s="6"/>
      <c r="I25" s="8">
        <f>SUM(I20:I24)/5</f>
        <v>5.979799999999999</v>
      </c>
    </row>
    <row r="26" spans="1:9" ht="12.75">
      <c r="A26" s="4"/>
      <c r="B26" s="10" t="s">
        <v>7</v>
      </c>
      <c r="C26" s="5"/>
      <c r="D26" s="5"/>
      <c r="E26" s="5"/>
      <c r="F26" s="4"/>
      <c r="G26" s="6">
        <f>((1/4)*((G20-G25)^2+(G21-G25)^2+(G22-G25)^2+(G23-G25)^2+(G24-G25)^2))^(1/2)</f>
        <v>2.4953957601951653</v>
      </c>
      <c r="H26" s="6"/>
      <c r="I26" s="6">
        <f>((1/4)*((I20-I25)^2+(I21-I25)^2+(I22-I25)^2+(I23-I25)^2+(I24-I25)^2))^(1/2)</f>
        <v>0.1289484393081202</v>
      </c>
    </row>
    <row r="27" spans="1:9" ht="12.75">
      <c r="A27" s="4"/>
      <c r="B27" s="10" t="s">
        <v>15</v>
      </c>
      <c r="C27" s="5"/>
      <c r="D27" s="5"/>
      <c r="E27" s="5"/>
      <c r="F27" s="4"/>
      <c r="G27" s="6">
        <f>((G25/98.98)-1)*100</f>
        <v>8.830066680137394</v>
      </c>
      <c r="H27" s="6"/>
      <c r="I27" s="6">
        <f>((I25/5.316)-1)*100</f>
        <v>12.486832204665156</v>
      </c>
    </row>
    <row r="28" spans="1:9" ht="12.75">
      <c r="A28" s="4">
        <v>3</v>
      </c>
      <c r="B28" s="5">
        <v>80</v>
      </c>
      <c r="C28" s="5">
        <v>1</v>
      </c>
      <c r="D28" s="5">
        <v>5</v>
      </c>
      <c r="E28" s="5">
        <v>1</v>
      </c>
      <c r="F28" s="4">
        <v>39</v>
      </c>
      <c r="G28" s="4">
        <v>111.4</v>
      </c>
      <c r="H28" s="4">
        <v>240</v>
      </c>
      <c r="I28" s="4">
        <v>7.343</v>
      </c>
    </row>
    <row r="29" spans="1:9" ht="12.75">
      <c r="A29" s="4">
        <v>6</v>
      </c>
      <c r="B29" s="5">
        <v>80</v>
      </c>
      <c r="C29" s="5">
        <v>2</v>
      </c>
      <c r="D29" s="5">
        <v>5</v>
      </c>
      <c r="E29" s="5">
        <v>1</v>
      </c>
      <c r="F29" s="4">
        <v>39</v>
      </c>
      <c r="G29" s="4">
        <v>109.5</v>
      </c>
      <c r="H29" s="4">
        <v>244</v>
      </c>
      <c r="I29" s="4">
        <v>7.343</v>
      </c>
    </row>
    <row r="30" spans="1:9" ht="12.75">
      <c r="A30" s="4">
        <v>10</v>
      </c>
      <c r="B30" s="5">
        <v>80</v>
      </c>
      <c r="C30" s="5">
        <v>3</v>
      </c>
      <c r="D30" s="5">
        <v>5</v>
      </c>
      <c r="E30" s="5">
        <v>1</v>
      </c>
      <c r="F30" s="4">
        <v>39</v>
      </c>
      <c r="G30" s="4">
        <v>107.2</v>
      </c>
      <c r="H30" s="4">
        <v>260</v>
      </c>
      <c r="I30" s="4">
        <v>7.592</v>
      </c>
    </row>
    <row r="31" spans="1:9" ht="12.75">
      <c r="A31" s="4">
        <v>15</v>
      </c>
      <c r="B31" s="5">
        <v>80</v>
      </c>
      <c r="C31" s="5">
        <v>4</v>
      </c>
      <c r="D31" s="5">
        <v>5</v>
      </c>
      <c r="E31" s="5">
        <v>1</v>
      </c>
      <c r="F31" s="4">
        <v>39</v>
      </c>
      <c r="G31" s="4">
        <v>107.6</v>
      </c>
      <c r="H31" s="4">
        <v>262</v>
      </c>
      <c r="I31" s="4">
        <v>7.6</v>
      </c>
    </row>
    <row r="32" spans="1:9" ht="12.75">
      <c r="A32" s="4">
        <v>20</v>
      </c>
      <c r="B32" s="5">
        <v>80</v>
      </c>
      <c r="C32" s="5">
        <v>5</v>
      </c>
      <c r="D32" s="5">
        <v>5</v>
      </c>
      <c r="E32" s="5">
        <v>1</v>
      </c>
      <c r="F32" s="4">
        <v>39</v>
      </c>
      <c r="G32" s="4">
        <v>103.2</v>
      </c>
      <c r="H32" s="4">
        <v>208</v>
      </c>
      <c r="I32" s="4">
        <v>7.636</v>
      </c>
    </row>
    <row r="33" spans="1:9" ht="12.75">
      <c r="A33" s="4"/>
      <c r="B33" s="10" t="s">
        <v>6</v>
      </c>
      <c r="C33" s="4"/>
      <c r="D33" s="4"/>
      <c r="E33" s="4"/>
      <c r="F33" s="4"/>
      <c r="G33" s="6">
        <f>SUM(G28:G32)/5</f>
        <v>107.78000000000002</v>
      </c>
      <c r="H33" s="6"/>
      <c r="I33" s="6">
        <f>SUM(I28:I32)/5</f>
        <v>7.502800000000001</v>
      </c>
    </row>
    <row r="34" spans="1:9" ht="12.75">
      <c r="A34" s="4"/>
      <c r="B34" s="10" t="s">
        <v>7</v>
      </c>
      <c r="C34" s="4"/>
      <c r="D34" s="4"/>
      <c r="E34" s="4"/>
      <c r="F34" s="4"/>
      <c r="G34" s="6">
        <f>((1/4)*((G28-G33)^2+(G29-G33)^2+(G30-G33)^2+(G31-G33)^2+(G32-G33)^2))^(1/2)</f>
        <v>3.0581039877675846</v>
      </c>
      <c r="H34" s="6"/>
      <c r="I34" s="6">
        <f>((1/4)*((I28-I33)^2+(I29-I33)^2+(I30-I33)^2+(I31-I33)^2+(I32-I33)^2))^(1/2)</f>
        <v>0.14681518994981405</v>
      </c>
    </row>
    <row r="35" spans="1:9" ht="12.75">
      <c r="A35" s="4"/>
      <c r="B35" s="10" t="s">
        <v>15</v>
      </c>
      <c r="C35" s="4"/>
      <c r="D35" s="4"/>
      <c r="E35" s="4"/>
      <c r="F35" s="4"/>
      <c r="G35" s="6">
        <f>((G33/104.26)-1)*100</f>
        <v>3.376174947247268</v>
      </c>
      <c r="H35" s="6"/>
      <c r="I35" s="6">
        <f>((I33/7.1418)-1)*100</f>
        <v>5.05474810271922</v>
      </c>
    </row>
    <row r="36" spans="1:9" ht="12.75">
      <c r="A36" s="4">
        <v>21</v>
      </c>
      <c r="B36" s="11">
        <v>100</v>
      </c>
      <c r="C36" s="5">
        <v>1</v>
      </c>
      <c r="D36" s="5">
        <v>5</v>
      </c>
      <c r="E36" s="12">
        <v>1</v>
      </c>
      <c r="F36" s="4">
        <v>31</v>
      </c>
      <c r="G36" s="13">
        <v>113.8</v>
      </c>
      <c r="H36" s="14">
        <v>250</v>
      </c>
      <c r="I36" s="15">
        <v>6.198</v>
      </c>
    </row>
    <row r="37" spans="1:9" ht="12.75">
      <c r="A37" s="4">
        <v>28</v>
      </c>
      <c r="B37" s="11">
        <v>100</v>
      </c>
      <c r="C37" s="5">
        <v>2</v>
      </c>
      <c r="D37" s="5">
        <v>5</v>
      </c>
      <c r="E37" s="12">
        <v>1</v>
      </c>
      <c r="F37" s="4">
        <v>33</v>
      </c>
      <c r="G37" s="13">
        <v>113.3</v>
      </c>
      <c r="H37" s="14">
        <v>254</v>
      </c>
      <c r="I37" s="15">
        <v>7.559</v>
      </c>
    </row>
    <row r="38" spans="1:9" ht="12.75">
      <c r="A38" s="4">
        <v>35</v>
      </c>
      <c r="B38" s="11">
        <v>100</v>
      </c>
      <c r="C38" s="5">
        <v>3</v>
      </c>
      <c r="D38" s="5">
        <v>5</v>
      </c>
      <c r="E38" s="12">
        <v>1</v>
      </c>
      <c r="F38" s="4">
        <v>27</v>
      </c>
      <c r="G38" s="13">
        <v>111.6</v>
      </c>
      <c r="H38" s="14">
        <v>251</v>
      </c>
      <c r="I38" s="15">
        <v>7.729</v>
      </c>
    </row>
    <row r="39" spans="1:9" ht="12.75">
      <c r="A39" s="4">
        <v>44</v>
      </c>
      <c r="B39" s="11">
        <v>100</v>
      </c>
      <c r="C39" s="12">
        <v>4</v>
      </c>
      <c r="D39" s="12">
        <v>5</v>
      </c>
      <c r="E39" s="12">
        <v>1</v>
      </c>
      <c r="F39" s="4">
        <v>26</v>
      </c>
      <c r="G39" s="13">
        <v>113.3</v>
      </c>
      <c r="H39" s="14">
        <v>246</v>
      </c>
      <c r="I39" s="15">
        <v>7.719</v>
      </c>
    </row>
    <row r="40" spans="1:9" ht="12.75">
      <c r="A40" s="4">
        <v>49</v>
      </c>
      <c r="B40" s="11">
        <v>100</v>
      </c>
      <c r="C40" s="12">
        <v>5</v>
      </c>
      <c r="D40" s="12">
        <v>5</v>
      </c>
      <c r="E40" s="12">
        <v>1</v>
      </c>
      <c r="F40" s="4">
        <v>25</v>
      </c>
      <c r="G40" s="13">
        <v>113.3</v>
      </c>
      <c r="H40" s="14">
        <v>250</v>
      </c>
      <c r="I40" s="15">
        <v>6.835</v>
      </c>
    </row>
    <row r="41" spans="1:9" ht="12.75">
      <c r="A41" s="4"/>
      <c r="B41" s="10" t="s">
        <v>6</v>
      </c>
      <c r="C41" s="7"/>
      <c r="D41" s="7"/>
      <c r="E41" s="6"/>
      <c r="F41" s="6"/>
      <c r="G41" s="6">
        <f>SUM(G36:G40)/5</f>
        <v>113.05999999999999</v>
      </c>
      <c r="H41" s="6"/>
      <c r="I41" s="6">
        <f>SUM(I36:I40)/5</f>
        <v>7.208</v>
      </c>
    </row>
    <row r="42" spans="1:9" ht="12.75">
      <c r="A42" s="4"/>
      <c r="B42" s="10" t="s">
        <v>7</v>
      </c>
      <c r="C42" s="7"/>
      <c r="D42" s="7"/>
      <c r="E42" s="6"/>
      <c r="F42" s="6"/>
      <c r="G42" s="6">
        <f>((1/4)*((G36-G41)^2+(G37-G41)^2+(G38-G41)^2+(G39-G41)^2+(G40-G41)^2))^(1/2)</f>
        <v>0.8443932733033832</v>
      </c>
      <c r="H42" s="6"/>
      <c r="I42" s="6">
        <f>((1/4)*((I36-I41)^2+(I37-I41)^2+(I38-I41)^2+(I39-I41)^2+(I40-I41)^2))^(1/2)</f>
        <v>0.6736081947245001</v>
      </c>
    </row>
    <row r="43" spans="1:9" ht="12.75">
      <c r="A43" s="4"/>
      <c r="B43" s="10" t="s">
        <v>15</v>
      </c>
      <c r="C43" s="7"/>
      <c r="D43" s="7"/>
      <c r="E43" s="6"/>
      <c r="F43" s="6"/>
      <c r="G43" s="6">
        <f>((G41/104.34)-1)*100</f>
        <v>8.357293463676418</v>
      </c>
      <c r="H43" s="6"/>
      <c r="I43" s="6">
        <f>((I41/7.918)-1)*100</f>
        <v>-8.966910836069719</v>
      </c>
    </row>
    <row r="44" spans="1:9" ht="12.75">
      <c r="A44" s="4">
        <v>23</v>
      </c>
      <c r="B44" s="11">
        <v>125</v>
      </c>
      <c r="C44" s="5">
        <v>1</v>
      </c>
      <c r="D44" s="5">
        <v>5</v>
      </c>
      <c r="E44" s="12">
        <v>1</v>
      </c>
      <c r="F44" s="4">
        <v>31</v>
      </c>
      <c r="G44" s="13">
        <v>116.7</v>
      </c>
      <c r="H44" s="14">
        <v>239</v>
      </c>
      <c r="I44" s="15">
        <v>8.765</v>
      </c>
    </row>
    <row r="45" spans="1:9" ht="12.75">
      <c r="A45" s="4">
        <v>29</v>
      </c>
      <c r="B45" s="11">
        <v>125</v>
      </c>
      <c r="C45" s="5">
        <v>2</v>
      </c>
      <c r="D45" s="5">
        <v>5</v>
      </c>
      <c r="E45" s="12">
        <v>1</v>
      </c>
      <c r="F45" s="4">
        <v>33</v>
      </c>
      <c r="G45" s="13">
        <v>114.6</v>
      </c>
      <c r="H45" s="14">
        <v>249</v>
      </c>
      <c r="I45" s="15">
        <v>9.09</v>
      </c>
    </row>
    <row r="46" spans="1:9" ht="12.75">
      <c r="A46" s="4">
        <v>36</v>
      </c>
      <c r="B46" s="11">
        <v>125</v>
      </c>
      <c r="C46" s="5">
        <v>3</v>
      </c>
      <c r="D46" s="5">
        <v>5</v>
      </c>
      <c r="E46" s="12">
        <v>1</v>
      </c>
      <c r="F46" s="4">
        <v>27</v>
      </c>
      <c r="G46" s="13">
        <v>115.7</v>
      </c>
      <c r="H46" s="14">
        <v>238</v>
      </c>
      <c r="I46" s="15">
        <v>9.184</v>
      </c>
    </row>
    <row r="47" spans="1:9" ht="12.75">
      <c r="A47" s="4">
        <v>43</v>
      </c>
      <c r="B47" s="11">
        <v>125</v>
      </c>
      <c r="C47" s="12">
        <v>4</v>
      </c>
      <c r="D47" s="12">
        <v>5</v>
      </c>
      <c r="E47" s="12">
        <v>1</v>
      </c>
      <c r="F47" s="4">
        <v>26</v>
      </c>
      <c r="G47" s="13">
        <v>112.5</v>
      </c>
      <c r="H47" s="14">
        <v>260</v>
      </c>
      <c r="I47" s="15">
        <v>7.934</v>
      </c>
    </row>
    <row r="48" spans="1:9" ht="12.75">
      <c r="A48" s="4">
        <v>48</v>
      </c>
      <c r="B48" s="11">
        <v>125</v>
      </c>
      <c r="C48" s="12">
        <v>5</v>
      </c>
      <c r="D48" s="12">
        <v>5</v>
      </c>
      <c r="E48" s="12">
        <v>1</v>
      </c>
      <c r="F48" s="4">
        <v>25</v>
      </c>
      <c r="G48" s="13">
        <v>112.2</v>
      </c>
      <c r="H48" s="14">
        <v>263</v>
      </c>
      <c r="I48" s="15">
        <v>8.249</v>
      </c>
    </row>
    <row r="49" spans="1:9" ht="12.75">
      <c r="A49" s="4"/>
      <c r="B49" s="16" t="s">
        <v>6</v>
      </c>
      <c r="C49" s="17"/>
      <c r="D49" s="7"/>
      <c r="E49" s="6"/>
      <c r="F49" s="6"/>
      <c r="G49" s="6">
        <f>SUM(G44:G48)/5</f>
        <v>114.34</v>
      </c>
      <c r="H49" s="6"/>
      <c r="I49" s="6">
        <f>SUM(I44:I48)/5</f>
        <v>8.644400000000001</v>
      </c>
    </row>
    <row r="50" spans="1:9" ht="12.75">
      <c r="A50" s="4"/>
      <c r="B50" s="16" t="s">
        <v>7</v>
      </c>
      <c r="C50" s="17"/>
      <c r="D50" s="7"/>
      <c r="E50" s="6"/>
      <c r="F50" s="6"/>
      <c r="G50" s="6">
        <f>((1/4)*((G44-G49)^2+(G45-G49)^2+(G46-G49)^2+(G47-G49)^2+(G48-G49)^2))^(1/2)</f>
        <v>1.9654516020497685</v>
      </c>
      <c r="H50" s="6"/>
      <c r="I50" s="6">
        <f>((1/4)*((I44-I49)^2+(I45-I49)^2+(I46-I49)^2+(I47-I49)^2+(I48-I49)^2))^(1/2)</f>
        <v>0.5397409563855606</v>
      </c>
    </row>
    <row r="51" spans="1:9" ht="12.75">
      <c r="A51" s="4"/>
      <c r="B51" s="16" t="s">
        <v>15</v>
      </c>
      <c r="C51" s="17"/>
      <c r="D51" s="7"/>
      <c r="E51" s="6"/>
      <c r="F51" s="6"/>
      <c r="G51" s="6">
        <f>((G49/101.1)-1)*100</f>
        <v>13.095944609297728</v>
      </c>
      <c r="H51" s="6"/>
      <c r="I51" s="6">
        <f>((I49/8.999)-1)*100</f>
        <v>-3.9404378264251583</v>
      </c>
    </row>
    <row r="52" spans="1:9" ht="12.75">
      <c r="A52" s="4">
        <v>22</v>
      </c>
      <c r="B52" s="11">
        <v>150</v>
      </c>
      <c r="C52" s="12">
        <v>1</v>
      </c>
      <c r="D52" s="5">
        <v>5</v>
      </c>
      <c r="E52" s="12">
        <v>1</v>
      </c>
      <c r="F52" s="4">
        <v>31</v>
      </c>
      <c r="G52" s="13">
        <v>114.2</v>
      </c>
      <c r="H52" s="14">
        <v>258</v>
      </c>
      <c r="I52" s="15">
        <v>8.635</v>
      </c>
    </row>
    <row r="53" spans="1:9" ht="12.75">
      <c r="A53" s="4">
        <v>32</v>
      </c>
      <c r="B53" s="11">
        <v>150</v>
      </c>
      <c r="C53" s="12">
        <v>2</v>
      </c>
      <c r="D53" s="5">
        <v>5</v>
      </c>
      <c r="E53" s="12">
        <v>1</v>
      </c>
      <c r="F53" s="4">
        <v>34</v>
      </c>
      <c r="G53" s="13">
        <v>113.8</v>
      </c>
      <c r="H53" s="14">
        <v>259</v>
      </c>
      <c r="I53" s="15">
        <v>8.756</v>
      </c>
    </row>
    <row r="54" spans="1:9" ht="12.75">
      <c r="A54" s="4">
        <v>37</v>
      </c>
      <c r="B54" s="11">
        <v>150</v>
      </c>
      <c r="C54" s="12">
        <v>3</v>
      </c>
      <c r="D54" s="5">
        <v>5</v>
      </c>
      <c r="E54" s="12">
        <v>1</v>
      </c>
      <c r="F54" s="4">
        <v>26</v>
      </c>
      <c r="G54" s="13">
        <v>116.4</v>
      </c>
      <c r="H54" s="14">
        <v>250</v>
      </c>
      <c r="I54" s="15">
        <v>8.126</v>
      </c>
    </row>
    <row r="55" spans="1:9" ht="12.75">
      <c r="A55" s="4">
        <v>39</v>
      </c>
      <c r="B55" s="11">
        <v>150</v>
      </c>
      <c r="C55" s="12">
        <v>4</v>
      </c>
      <c r="D55" s="12">
        <v>5</v>
      </c>
      <c r="E55" s="12">
        <v>1</v>
      </c>
      <c r="F55" s="4">
        <v>26</v>
      </c>
      <c r="G55" s="13">
        <v>111</v>
      </c>
      <c r="H55" s="14">
        <v>279</v>
      </c>
      <c r="I55" s="15">
        <v>8.394</v>
      </c>
    </row>
    <row r="56" spans="1:9" ht="12.75">
      <c r="A56" s="4">
        <v>47</v>
      </c>
      <c r="B56" s="11">
        <v>150</v>
      </c>
      <c r="C56" s="12">
        <v>5</v>
      </c>
      <c r="D56" s="12">
        <v>5</v>
      </c>
      <c r="E56" s="12">
        <v>1</v>
      </c>
      <c r="F56" s="4">
        <v>25</v>
      </c>
      <c r="G56" s="13">
        <v>110.8</v>
      </c>
      <c r="H56" s="14">
        <v>271</v>
      </c>
      <c r="I56" s="15">
        <v>8.522</v>
      </c>
    </row>
    <row r="57" spans="1:9" ht="12.75">
      <c r="A57" s="4"/>
      <c r="B57" s="16" t="s">
        <v>6</v>
      </c>
      <c r="C57" s="17"/>
      <c r="D57" s="7"/>
      <c r="E57" s="6"/>
      <c r="F57" s="6"/>
      <c r="G57" s="6">
        <f>SUM(G52:G56)/5</f>
        <v>113.23999999999998</v>
      </c>
      <c r="H57" s="6"/>
      <c r="I57" s="6">
        <f>SUM(I52:I56)/5</f>
        <v>8.4866</v>
      </c>
    </row>
    <row r="58" spans="1:9" ht="12.75">
      <c r="A58" s="4"/>
      <c r="B58" s="16" t="s">
        <v>7</v>
      </c>
      <c r="C58" s="17"/>
      <c r="D58" s="7"/>
      <c r="E58" s="6"/>
      <c r="F58" s="6"/>
      <c r="G58" s="6">
        <f>((1/4)*((G52-G57)^2+(G53-G57)^2+(G54-G57)^2+(G55-G57)^2+(G56-G57)^2))^(1/2)</f>
        <v>2.3554192832699687</v>
      </c>
      <c r="H58" s="6"/>
      <c r="I58" s="6">
        <f>((1/4)*((I52-I57)^2+(I53-I57)^2+(I54-I57)^2+(I55-I57)^2+(I56-I57)^2))^(1/2)</f>
        <v>0.24210493592655255</v>
      </c>
    </row>
    <row r="59" spans="1:9" ht="12.75">
      <c r="A59" s="4"/>
      <c r="B59" s="16" t="s">
        <v>15</v>
      </c>
      <c r="C59" s="17"/>
      <c r="D59" s="7"/>
      <c r="E59" s="6"/>
      <c r="F59" s="6"/>
      <c r="G59" s="6">
        <f>((G57/101.98)-1)*100</f>
        <v>11.041380662875056</v>
      </c>
      <c r="H59" s="6"/>
      <c r="I59" s="6">
        <f>((I57/10.068)-1)*100</f>
        <v>-15.707191100516493</v>
      </c>
    </row>
    <row r="60" spans="1:9" ht="12.75">
      <c r="A60" s="4">
        <v>24</v>
      </c>
      <c r="B60" s="11">
        <v>200</v>
      </c>
      <c r="C60" s="12">
        <v>1</v>
      </c>
      <c r="D60" s="5">
        <v>5</v>
      </c>
      <c r="E60" s="12">
        <v>1</v>
      </c>
      <c r="F60" s="4">
        <v>33</v>
      </c>
      <c r="G60" s="13">
        <v>116.2</v>
      </c>
      <c r="H60" s="14">
        <v>258</v>
      </c>
      <c r="I60" s="15">
        <v>8.91</v>
      </c>
    </row>
    <row r="61" spans="1:9" ht="12.75">
      <c r="A61" s="4">
        <v>26</v>
      </c>
      <c r="B61" s="11">
        <v>200</v>
      </c>
      <c r="C61" s="12">
        <v>2</v>
      </c>
      <c r="D61" s="5">
        <v>5</v>
      </c>
      <c r="E61" s="12">
        <v>1</v>
      </c>
      <c r="F61" s="4">
        <v>33</v>
      </c>
      <c r="G61" s="13">
        <v>114.9</v>
      </c>
      <c r="H61" s="14">
        <v>266</v>
      </c>
      <c r="I61" s="15">
        <v>10.21</v>
      </c>
    </row>
    <row r="62" spans="1:9" ht="12.75">
      <c r="A62" s="4">
        <v>33</v>
      </c>
      <c r="B62" s="11">
        <v>200</v>
      </c>
      <c r="C62" s="5">
        <v>3</v>
      </c>
      <c r="D62" s="5">
        <v>5</v>
      </c>
      <c r="E62" s="12">
        <v>1</v>
      </c>
      <c r="F62" s="4">
        <v>34</v>
      </c>
      <c r="G62" s="13">
        <v>110.9</v>
      </c>
      <c r="H62" s="14">
        <v>285</v>
      </c>
      <c r="I62" s="15">
        <v>11.242</v>
      </c>
    </row>
    <row r="63" spans="1:9" ht="12.75">
      <c r="A63" s="4">
        <v>38</v>
      </c>
      <c r="B63" s="11">
        <v>200</v>
      </c>
      <c r="C63" s="12">
        <v>4</v>
      </c>
      <c r="D63" s="12">
        <v>5</v>
      </c>
      <c r="E63" s="12">
        <v>1</v>
      </c>
      <c r="F63" s="4">
        <v>26</v>
      </c>
      <c r="G63" s="13">
        <v>110.9</v>
      </c>
      <c r="H63" s="14">
        <v>288</v>
      </c>
      <c r="I63" s="15">
        <v>8.847</v>
      </c>
    </row>
    <row r="64" spans="1:9" ht="12.75">
      <c r="A64" s="4">
        <v>45</v>
      </c>
      <c r="B64" s="11">
        <v>200</v>
      </c>
      <c r="C64" s="12">
        <v>5</v>
      </c>
      <c r="D64" s="12">
        <v>5</v>
      </c>
      <c r="E64" s="12">
        <v>1</v>
      </c>
      <c r="F64" s="4">
        <v>26</v>
      </c>
      <c r="G64" s="13">
        <v>109.5</v>
      </c>
      <c r="H64" s="14">
        <v>297</v>
      </c>
      <c r="I64" s="15">
        <v>10.487</v>
      </c>
    </row>
    <row r="65" spans="1:9" ht="12.75">
      <c r="A65" s="4"/>
      <c r="B65" s="16" t="s">
        <v>6</v>
      </c>
      <c r="C65" s="17"/>
      <c r="D65" s="7"/>
      <c r="E65" s="6"/>
      <c r="F65" s="6"/>
      <c r="G65" s="6">
        <f>SUM(G60:G64)/5</f>
        <v>112.47999999999999</v>
      </c>
      <c r="H65" s="6"/>
      <c r="I65" s="6">
        <f>SUM(I60:I64)/5</f>
        <v>9.939200000000001</v>
      </c>
    </row>
    <row r="66" spans="1:9" ht="12.75">
      <c r="A66" s="4"/>
      <c r="B66" s="16" t="s">
        <v>7</v>
      </c>
      <c r="C66" s="17"/>
      <c r="D66" s="7"/>
      <c r="E66" s="6"/>
      <c r="F66" s="6"/>
      <c r="G66" s="6">
        <f>((1/4)*((G60-G65)^2+(G61-G65)^2+(G62-G65)^2+(G63-G65)^2+(G64-G65)^2))^(1/2)</f>
        <v>2.8968948893599857</v>
      </c>
      <c r="H66" s="6"/>
      <c r="I66" s="6">
        <f>((1/4)*((I60-I65)^2+(I61-I65)^2+(I62-I65)^2+(I63-I65)^2+(I64-I65)^2))^(1/2)</f>
        <v>1.0395742878697996</v>
      </c>
    </row>
    <row r="67" spans="1:9" ht="12.75">
      <c r="A67" s="4"/>
      <c r="B67" s="16" t="s">
        <v>15</v>
      </c>
      <c r="C67" s="17"/>
      <c r="D67" s="7"/>
      <c r="E67" s="6"/>
      <c r="F67" s="6"/>
      <c r="G67" s="6">
        <f>((G65/104.92)-1)*100</f>
        <v>7.205489897064421</v>
      </c>
      <c r="H67" s="6"/>
      <c r="I67" s="6">
        <f>((I65/12.12)-1)*100</f>
        <v>-17.99339933993398</v>
      </c>
    </row>
    <row r="68" spans="1:9" ht="12.75">
      <c r="A68" s="4">
        <v>25</v>
      </c>
      <c r="B68" s="11">
        <v>300</v>
      </c>
      <c r="C68" s="12">
        <v>1</v>
      </c>
      <c r="D68" s="5">
        <v>5</v>
      </c>
      <c r="E68" s="12">
        <v>1</v>
      </c>
      <c r="F68" s="4">
        <v>33</v>
      </c>
      <c r="G68" s="13">
        <v>114.4</v>
      </c>
      <c r="H68" s="14">
        <v>280</v>
      </c>
      <c r="I68" s="15">
        <v>13.503</v>
      </c>
    </row>
    <row r="69" spans="1:9" ht="12.75">
      <c r="A69" s="4">
        <v>31</v>
      </c>
      <c r="B69" s="11">
        <v>300</v>
      </c>
      <c r="C69" s="12">
        <v>2</v>
      </c>
      <c r="D69" s="5">
        <v>5</v>
      </c>
      <c r="E69" s="12">
        <v>1</v>
      </c>
      <c r="F69" s="4">
        <v>34</v>
      </c>
      <c r="G69" s="13">
        <v>113.7</v>
      </c>
      <c r="H69" s="14">
        <v>288</v>
      </c>
      <c r="I69" s="15">
        <v>13.336</v>
      </c>
    </row>
    <row r="70" spans="1:9" ht="12.75">
      <c r="A70" s="4">
        <v>40</v>
      </c>
      <c r="B70" s="11">
        <v>300</v>
      </c>
      <c r="C70" s="12">
        <v>3</v>
      </c>
      <c r="D70" s="5">
        <v>5</v>
      </c>
      <c r="E70" s="12">
        <v>1</v>
      </c>
      <c r="F70" s="4">
        <v>26</v>
      </c>
      <c r="G70" s="13">
        <v>107.7</v>
      </c>
      <c r="H70" s="14">
        <v>320</v>
      </c>
      <c r="I70" s="15">
        <v>11.763</v>
      </c>
    </row>
    <row r="71" spans="1:9" ht="12.75">
      <c r="A71" s="4">
        <v>42</v>
      </c>
      <c r="B71" s="11">
        <v>300</v>
      </c>
      <c r="C71" s="12">
        <v>4</v>
      </c>
      <c r="D71" s="12">
        <v>5</v>
      </c>
      <c r="E71" s="12">
        <v>1</v>
      </c>
      <c r="F71" s="4">
        <v>26</v>
      </c>
      <c r="G71" s="13">
        <v>109.7</v>
      </c>
      <c r="H71" s="14">
        <v>309</v>
      </c>
      <c r="I71" s="15">
        <v>12.528</v>
      </c>
    </row>
    <row r="72" spans="1:9" ht="12.75">
      <c r="A72" s="4">
        <v>46</v>
      </c>
      <c r="B72" s="11">
        <v>300</v>
      </c>
      <c r="C72" s="12">
        <v>5</v>
      </c>
      <c r="D72" s="12">
        <v>5</v>
      </c>
      <c r="E72" s="12">
        <v>1</v>
      </c>
      <c r="F72" s="4">
        <v>25</v>
      </c>
      <c r="G72" s="13">
        <v>112.3</v>
      </c>
      <c r="H72" s="14">
        <v>294</v>
      </c>
      <c r="I72" s="15">
        <v>12.966</v>
      </c>
    </row>
    <row r="73" spans="1:9" ht="12.75">
      <c r="A73" s="4"/>
      <c r="B73" s="16" t="s">
        <v>6</v>
      </c>
      <c r="C73" s="17"/>
      <c r="D73" s="7"/>
      <c r="E73" s="6"/>
      <c r="F73" s="6"/>
      <c r="G73" s="6">
        <f>SUM(G68:G72)/5</f>
        <v>111.55999999999999</v>
      </c>
      <c r="H73" s="6"/>
      <c r="I73" s="6">
        <f>SUM(I68:I72)/5</f>
        <v>12.819199999999999</v>
      </c>
    </row>
    <row r="74" spans="1:9" ht="12.75">
      <c r="A74" s="4"/>
      <c r="B74" s="16" t="s">
        <v>7</v>
      </c>
      <c r="C74" s="17"/>
      <c r="D74" s="7"/>
      <c r="E74" s="6"/>
      <c r="F74" s="6"/>
      <c r="G74" s="6">
        <f>((1/4)*((G68-G73)^2+(G69-G73)^2+(G70-G73)^2+(G71-G73)^2+(G72-G73)^2))^(1/2)</f>
        <v>2.8085583490467134</v>
      </c>
      <c r="H74" s="6"/>
      <c r="I74" s="6">
        <f>((1/4)*((I68-I73)^2+(I69-I73)^2+(I70-I73)^2+(I71-I73)^2+(I72-I73)^2))^(1/2)</f>
        <v>0.6993873747788132</v>
      </c>
    </row>
    <row r="75" spans="1:9" ht="12.75">
      <c r="A75" s="4"/>
      <c r="B75" s="16" t="s">
        <v>15</v>
      </c>
      <c r="C75" s="17"/>
      <c r="D75" s="7"/>
      <c r="E75" s="6"/>
      <c r="F75" s="6"/>
      <c r="G75" s="6">
        <f>((G73/103.72)-1)*100</f>
        <v>7.558812186656372</v>
      </c>
      <c r="H75" s="6"/>
      <c r="I75" s="6">
        <f>((I73/14.771)-1)*100</f>
        <v>-13.213729605307712</v>
      </c>
    </row>
    <row r="76" spans="1:9" ht="12.75">
      <c r="A76" s="4">
        <v>27</v>
      </c>
      <c r="B76" s="11">
        <v>450</v>
      </c>
      <c r="C76" s="12">
        <v>1</v>
      </c>
      <c r="D76" s="5">
        <v>5</v>
      </c>
      <c r="E76" s="12">
        <v>1</v>
      </c>
      <c r="F76" s="4">
        <v>33</v>
      </c>
      <c r="G76" s="13">
        <v>118.6</v>
      </c>
      <c r="H76" s="14">
        <v>288</v>
      </c>
      <c r="I76" s="15">
        <v>15.881</v>
      </c>
    </row>
    <row r="77" spans="1:9" ht="12.75">
      <c r="A77" s="4">
        <v>30</v>
      </c>
      <c r="B77" s="11">
        <v>450</v>
      </c>
      <c r="C77" s="12">
        <v>2</v>
      </c>
      <c r="D77" s="5">
        <v>5</v>
      </c>
      <c r="E77" s="12">
        <v>1</v>
      </c>
      <c r="F77" s="4">
        <v>33</v>
      </c>
      <c r="G77" s="13">
        <v>114.7</v>
      </c>
      <c r="H77" s="14">
        <v>300</v>
      </c>
      <c r="I77" s="15">
        <v>15.849</v>
      </c>
    </row>
    <row r="78" spans="1:9" ht="12.75">
      <c r="A78" s="4">
        <v>34</v>
      </c>
      <c r="B78" s="11">
        <v>450</v>
      </c>
      <c r="C78" s="12">
        <v>3</v>
      </c>
      <c r="D78" s="5">
        <v>5</v>
      </c>
      <c r="E78" s="12">
        <v>1</v>
      </c>
      <c r="F78" s="4">
        <v>34</v>
      </c>
      <c r="G78" s="13">
        <v>112.8</v>
      </c>
      <c r="H78" s="14">
        <v>310</v>
      </c>
      <c r="I78" s="15">
        <v>15.575</v>
      </c>
    </row>
    <row r="79" spans="1:9" ht="12.75">
      <c r="A79" s="4">
        <v>41</v>
      </c>
      <c r="B79" s="11">
        <v>450</v>
      </c>
      <c r="C79" s="12">
        <v>4</v>
      </c>
      <c r="D79" s="12">
        <v>5</v>
      </c>
      <c r="E79" s="12">
        <v>1</v>
      </c>
      <c r="F79" s="4">
        <v>26</v>
      </c>
      <c r="G79" s="13">
        <v>110.6</v>
      </c>
      <c r="H79" s="14">
        <v>335</v>
      </c>
      <c r="I79" s="15">
        <v>15.063</v>
      </c>
    </row>
    <row r="80" spans="1:9" ht="12.75">
      <c r="A80" s="4">
        <v>50</v>
      </c>
      <c r="B80" s="11">
        <v>450</v>
      </c>
      <c r="C80" s="12">
        <v>5</v>
      </c>
      <c r="D80" s="12">
        <v>5</v>
      </c>
      <c r="E80" s="12">
        <v>1</v>
      </c>
      <c r="F80" s="4">
        <v>25</v>
      </c>
      <c r="G80" s="13">
        <v>111</v>
      </c>
      <c r="H80" s="14">
        <v>330</v>
      </c>
      <c r="I80" s="15">
        <v>15.6</v>
      </c>
    </row>
    <row r="81" spans="1:9" ht="12.75">
      <c r="A81" s="4"/>
      <c r="B81" s="16" t="s">
        <v>6</v>
      </c>
      <c r="C81" s="17"/>
      <c r="D81" s="6"/>
      <c r="E81" s="6"/>
      <c r="F81" s="6"/>
      <c r="G81" s="6">
        <f>SUM(G76:G80)/5</f>
        <v>113.54</v>
      </c>
      <c r="H81" s="6"/>
      <c r="I81" s="6">
        <f>SUM(I76:I80)/5</f>
        <v>15.5936</v>
      </c>
    </row>
    <row r="82" spans="1:9" ht="12.75">
      <c r="A82" s="4"/>
      <c r="B82" s="16" t="s">
        <v>7</v>
      </c>
      <c r="C82" s="17"/>
      <c r="D82" s="6"/>
      <c r="E82" s="6"/>
      <c r="F82" s="6"/>
      <c r="G82" s="6">
        <f>((1/4)*((G76-G81)^2+(G77-G81)^2+(G78-G81)^2+(G79-G81)^2+(G80-G81)^2))^(1/2)</f>
        <v>3.2631273343220912</v>
      </c>
      <c r="H82" s="6"/>
      <c r="I82" s="6">
        <f>((1/4)*((I76-I81)^2+(I77-I81)^2+(I78-I81)^2+(I79-I81)^2+(I80-I81)^2))^(1/2)</f>
        <v>0.3277770583796247</v>
      </c>
    </row>
    <row r="83" spans="1:9" ht="12.75">
      <c r="A83" s="4"/>
      <c r="B83" s="16" t="s">
        <v>15</v>
      </c>
      <c r="C83" s="17"/>
      <c r="D83" s="6"/>
      <c r="E83" s="6"/>
      <c r="F83" s="6"/>
      <c r="G83" s="6">
        <f>((G81/104.3)-1)*100</f>
        <v>8.859060402684582</v>
      </c>
      <c r="H83" s="6"/>
      <c r="I83" s="6">
        <f>((I81/18.236)-1)*100</f>
        <v>-14.490019741171311</v>
      </c>
    </row>
    <row r="84" spans="2:3" ht="12.75">
      <c r="B84" s="18"/>
      <c r="C84" s="19"/>
    </row>
    <row r="85" spans="1:9" ht="12.75">
      <c r="A85" s="4">
        <v>1</v>
      </c>
      <c r="B85" s="5">
        <v>20</v>
      </c>
      <c r="C85" s="5">
        <v>1</v>
      </c>
      <c r="D85" s="5">
        <v>20</v>
      </c>
      <c r="E85" s="5">
        <v>1</v>
      </c>
      <c r="F85" s="20">
        <v>36</v>
      </c>
      <c r="G85" s="20">
        <v>105.7</v>
      </c>
      <c r="H85" s="20">
        <v>208</v>
      </c>
      <c r="I85" s="20">
        <v>3.533</v>
      </c>
    </row>
    <row r="86" spans="1:9" ht="12.75">
      <c r="A86" s="4">
        <v>8</v>
      </c>
      <c r="B86" s="5">
        <v>20</v>
      </c>
      <c r="C86" s="5">
        <v>2</v>
      </c>
      <c r="D86" s="5">
        <v>20</v>
      </c>
      <c r="E86" s="5">
        <v>1</v>
      </c>
      <c r="F86" s="20">
        <v>35</v>
      </c>
      <c r="G86" s="20">
        <v>103.7</v>
      </c>
      <c r="H86" s="20">
        <v>230</v>
      </c>
      <c r="I86" s="20">
        <v>3.277</v>
      </c>
    </row>
    <row r="87" spans="1:9" ht="12.75">
      <c r="A87" s="4">
        <v>22</v>
      </c>
      <c r="B87" s="5">
        <v>20</v>
      </c>
      <c r="C87" s="5">
        <v>3</v>
      </c>
      <c r="D87" s="5">
        <v>20</v>
      </c>
      <c r="E87" s="5">
        <v>1</v>
      </c>
      <c r="F87" s="20">
        <v>37</v>
      </c>
      <c r="G87" s="20">
        <v>101.6</v>
      </c>
      <c r="H87" s="20">
        <v>253</v>
      </c>
      <c r="I87" s="20">
        <v>3.277</v>
      </c>
    </row>
    <row r="88" spans="1:9" ht="12.75">
      <c r="A88" s="4">
        <v>13</v>
      </c>
      <c r="B88" s="5">
        <v>20</v>
      </c>
      <c r="C88" s="5">
        <v>4</v>
      </c>
      <c r="D88" s="5">
        <v>20</v>
      </c>
      <c r="E88" s="5">
        <v>1</v>
      </c>
      <c r="F88" s="20">
        <v>35</v>
      </c>
      <c r="G88" s="20">
        <v>107.3</v>
      </c>
      <c r="H88" s="20">
        <v>210</v>
      </c>
      <c r="I88" s="20">
        <v>3.413</v>
      </c>
    </row>
    <row r="89" spans="1:9" ht="12.75">
      <c r="A89" s="4">
        <v>19</v>
      </c>
      <c r="B89" s="5">
        <v>20</v>
      </c>
      <c r="C89" s="5">
        <v>5</v>
      </c>
      <c r="D89" s="5">
        <v>20</v>
      </c>
      <c r="E89" s="5">
        <v>1</v>
      </c>
      <c r="F89" s="20">
        <v>37</v>
      </c>
      <c r="G89" s="20">
        <v>100.2</v>
      </c>
      <c r="H89" s="20">
        <v>250</v>
      </c>
      <c r="I89" s="20">
        <v>3.407</v>
      </c>
    </row>
    <row r="90" spans="1:9" ht="12.75">
      <c r="A90" s="4"/>
      <c r="B90" s="10" t="s">
        <v>6</v>
      </c>
      <c r="C90" s="5"/>
      <c r="D90" s="5"/>
      <c r="E90" s="5"/>
      <c r="F90" s="20"/>
      <c r="G90" s="21">
        <f>SUM(G85:G89)/5</f>
        <v>103.7</v>
      </c>
      <c r="H90" s="21"/>
      <c r="I90" s="22">
        <f>SUM(I85:I89)/5</f>
        <v>3.3814</v>
      </c>
    </row>
    <row r="91" spans="1:9" ht="12.75">
      <c r="A91" s="4"/>
      <c r="B91" s="10" t="s">
        <v>7</v>
      </c>
      <c r="C91" s="5"/>
      <c r="D91" s="5"/>
      <c r="E91" s="5"/>
      <c r="F91" s="20"/>
      <c r="G91" s="21">
        <f>((1/4)*((G85-G90)^2+(G86-G90)^2+(G87-G90)^2+(G88-G90)^2+(G89-G90)^2))^(1/2)</f>
        <v>2.8991378028648445</v>
      </c>
      <c r="H91" s="21"/>
      <c r="I91" s="21">
        <f>((1/4)*((I85-I90)^2+(I86-I90)^2+(I87-I90)^2+(I88-I90)^2+(I89-I90)^2))^(1/2)</f>
        <v>0.10774414137204852</v>
      </c>
    </row>
    <row r="92" spans="1:9" ht="12.75">
      <c r="A92" s="4"/>
      <c r="B92" s="10" t="s">
        <v>15</v>
      </c>
      <c r="C92" s="5"/>
      <c r="D92" s="5"/>
      <c r="E92" s="5"/>
      <c r="F92" s="20"/>
      <c r="G92" s="21">
        <f>((G90/100.76)-1)*100</f>
        <v>2.9178245335450548</v>
      </c>
      <c r="H92" s="21"/>
      <c r="I92" s="21">
        <f>((I90/2.6332)-1)*100</f>
        <v>28.41409691629957</v>
      </c>
    </row>
    <row r="93" spans="1:9" ht="12.75">
      <c r="A93" s="4">
        <v>2</v>
      </c>
      <c r="B93" s="5">
        <v>50</v>
      </c>
      <c r="C93" s="5">
        <v>1</v>
      </c>
      <c r="D93" s="5">
        <v>20</v>
      </c>
      <c r="E93" s="5">
        <v>1</v>
      </c>
      <c r="F93" s="20">
        <v>36</v>
      </c>
      <c r="G93" s="20">
        <v>104.7</v>
      </c>
      <c r="H93" s="20">
        <v>252</v>
      </c>
      <c r="I93" s="20">
        <v>6.047</v>
      </c>
    </row>
    <row r="94" spans="1:9" ht="12.75">
      <c r="A94" s="4">
        <v>5</v>
      </c>
      <c r="B94" s="5">
        <v>50</v>
      </c>
      <c r="C94" s="5">
        <v>2</v>
      </c>
      <c r="D94" s="5">
        <v>20</v>
      </c>
      <c r="E94" s="5">
        <v>1</v>
      </c>
      <c r="F94" s="20">
        <v>36</v>
      </c>
      <c r="G94" s="20">
        <v>109</v>
      </c>
      <c r="H94" s="20">
        <v>229</v>
      </c>
      <c r="I94" s="20">
        <v>4.696</v>
      </c>
    </row>
    <row r="95" spans="1:9" ht="12.75">
      <c r="A95" s="4">
        <v>11</v>
      </c>
      <c r="B95" s="5">
        <v>50</v>
      </c>
      <c r="C95" s="5">
        <v>3</v>
      </c>
      <c r="D95" s="5">
        <v>20</v>
      </c>
      <c r="E95" s="5">
        <v>1</v>
      </c>
      <c r="F95" s="20">
        <v>35</v>
      </c>
      <c r="G95" s="20">
        <v>106</v>
      </c>
      <c r="H95" s="20">
        <v>246</v>
      </c>
      <c r="I95" s="20">
        <v>5.397</v>
      </c>
    </row>
    <row r="96" spans="1:9" ht="12.75">
      <c r="A96" s="4">
        <v>15</v>
      </c>
      <c r="B96" s="5">
        <v>50</v>
      </c>
      <c r="C96" s="5">
        <v>4</v>
      </c>
      <c r="D96" s="5">
        <v>20</v>
      </c>
      <c r="E96" s="5">
        <v>1</v>
      </c>
      <c r="F96" s="20">
        <v>35</v>
      </c>
      <c r="G96" s="20">
        <v>104.8</v>
      </c>
      <c r="H96" s="20">
        <v>260</v>
      </c>
      <c r="I96" s="20">
        <v>5.264</v>
      </c>
    </row>
    <row r="97" spans="1:9" ht="12.75">
      <c r="A97" s="4">
        <v>20</v>
      </c>
      <c r="B97" s="5">
        <v>50</v>
      </c>
      <c r="C97" s="5">
        <v>5</v>
      </c>
      <c r="D97" s="5">
        <v>20</v>
      </c>
      <c r="E97" s="5">
        <v>1</v>
      </c>
      <c r="F97" s="20">
        <v>37</v>
      </c>
      <c r="G97" s="20">
        <v>105.6</v>
      </c>
      <c r="H97" s="20">
        <v>250</v>
      </c>
      <c r="I97" s="20">
        <v>5.52</v>
      </c>
    </row>
    <row r="98" spans="1:9" ht="12.75">
      <c r="A98" s="4"/>
      <c r="B98" s="10" t="s">
        <v>6</v>
      </c>
      <c r="C98" s="5"/>
      <c r="D98" s="5"/>
      <c r="E98" s="5"/>
      <c r="F98" s="20"/>
      <c r="G98" s="21">
        <f>SUM(G93:G97)/5</f>
        <v>106.02000000000001</v>
      </c>
      <c r="H98" s="21"/>
      <c r="I98" s="22">
        <f>SUM(I93:I97)/5</f>
        <v>5.3848</v>
      </c>
    </row>
    <row r="99" spans="1:9" ht="12.75">
      <c r="A99" s="4"/>
      <c r="B99" s="10" t="s">
        <v>7</v>
      </c>
      <c r="C99" s="5"/>
      <c r="D99" s="5"/>
      <c r="E99" s="5"/>
      <c r="F99" s="20"/>
      <c r="G99" s="21">
        <f>((1/4)*((G93-G98)^2+(G94-G98)^2+(G95-G98)^2+(G96-G98)^2+(G97-G98)^2))^(1/2)</f>
        <v>1.752712184016532</v>
      </c>
      <c r="H99" s="21"/>
      <c r="I99" s="21">
        <f>((1/4)*((I93-I98)^2+(I94-I98)^2+(I95-I98)^2+(I96-I98)^2+(I97-I98)^2))^(1/2)</f>
        <v>0.486306179273922</v>
      </c>
    </row>
    <row r="100" spans="1:9" ht="12.75">
      <c r="A100" s="4"/>
      <c r="B100" s="10" t="s">
        <v>15</v>
      </c>
      <c r="C100" s="5"/>
      <c r="D100" s="5"/>
      <c r="E100" s="5"/>
      <c r="F100" s="20"/>
      <c r="G100" s="21">
        <f>((G98/98.98)-1)*100</f>
        <v>7.1125479894928345</v>
      </c>
      <c r="H100" s="21"/>
      <c r="I100" s="21">
        <f>((I98/5.316)-1)*100</f>
        <v>1.2942061700526697</v>
      </c>
    </row>
    <row r="101" spans="1:9" ht="12.75">
      <c r="A101" s="4">
        <v>3</v>
      </c>
      <c r="B101" s="5">
        <v>80</v>
      </c>
      <c r="C101" s="5">
        <v>1</v>
      </c>
      <c r="D101" s="5">
        <v>20</v>
      </c>
      <c r="E101" s="5">
        <v>1</v>
      </c>
      <c r="F101" s="20">
        <v>36</v>
      </c>
      <c r="G101" s="20">
        <v>109</v>
      </c>
      <c r="H101" s="20">
        <v>244</v>
      </c>
      <c r="I101" s="20">
        <v>7.478</v>
      </c>
    </row>
    <row r="102" spans="1:9" ht="12.75">
      <c r="A102" s="4">
        <v>21</v>
      </c>
      <c r="B102" s="5">
        <v>80</v>
      </c>
      <c r="C102" s="5">
        <v>2</v>
      </c>
      <c r="D102" s="5">
        <v>20</v>
      </c>
      <c r="E102" s="5">
        <v>1</v>
      </c>
      <c r="F102" s="20">
        <v>37</v>
      </c>
      <c r="G102" s="20">
        <v>100.5</v>
      </c>
      <c r="H102" s="20">
        <v>295</v>
      </c>
      <c r="I102" s="20">
        <v>6.705</v>
      </c>
    </row>
    <row r="103" spans="1:9" ht="12.75">
      <c r="A103" s="4">
        <v>12</v>
      </c>
      <c r="B103" s="5">
        <v>80</v>
      </c>
      <c r="C103" s="5">
        <v>3</v>
      </c>
      <c r="D103" s="5">
        <v>20</v>
      </c>
      <c r="E103" s="5">
        <v>1</v>
      </c>
      <c r="F103" s="20">
        <v>35</v>
      </c>
      <c r="G103" s="20">
        <v>111.5</v>
      </c>
      <c r="H103" s="20">
        <v>240</v>
      </c>
      <c r="I103" s="20">
        <v>6.174</v>
      </c>
    </row>
    <row r="104" spans="1:9" ht="12.75">
      <c r="A104" s="4">
        <v>23</v>
      </c>
      <c r="B104" s="5">
        <v>80</v>
      </c>
      <c r="C104" s="5">
        <v>4</v>
      </c>
      <c r="D104" s="5">
        <v>20</v>
      </c>
      <c r="E104" s="5">
        <v>1</v>
      </c>
      <c r="F104" s="20">
        <v>37</v>
      </c>
      <c r="G104" s="20">
        <v>102.3</v>
      </c>
      <c r="H104" s="20">
        <v>287</v>
      </c>
      <c r="I104" s="20">
        <v>6.697</v>
      </c>
    </row>
    <row r="105" spans="1:9" ht="12.75">
      <c r="A105" s="4">
        <v>16</v>
      </c>
      <c r="B105" s="5">
        <v>80</v>
      </c>
      <c r="C105" s="5">
        <v>5</v>
      </c>
      <c r="D105" s="5">
        <v>20</v>
      </c>
      <c r="E105" s="5">
        <v>1</v>
      </c>
      <c r="F105" s="20">
        <v>35</v>
      </c>
      <c r="G105" s="20">
        <v>102.7</v>
      </c>
      <c r="H105" s="20">
        <v>268</v>
      </c>
      <c r="I105" s="20">
        <v>6.81</v>
      </c>
    </row>
    <row r="106" spans="1:9" ht="12.75">
      <c r="A106" s="4"/>
      <c r="B106" s="10" t="s">
        <v>6</v>
      </c>
      <c r="C106" s="5"/>
      <c r="D106" s="5"/>
      <c r="E106" s="5"/>
      <c r="F106" s="20"/>
      <c r="G106" s="21">
        <f>SUM(G101:G105)/5</f>
        <v>105.2</v>
      </c>
      <c r="H106" s="21"/>
      <c r="I106" s="22">
        <f>SUM(I101:I105)/5</f>
        <v>6.772799999999999</v>
      </c>
    </row>
    <row r="107" spans="1:9" ht="12.75">
      <c r="A107" s="4"/>
      <c r="B107" s="10" t="s">
        <v>7</v>
      </c>
      <c r="C107" s="5"/>
      <c r="D107" s="5"/>
      <c r="E107" s="5"/>
      <c r="F107" s="20"/>
      <c r="G107" s="21">
        <f>((1/4)*((G101-G106)^2+(G102-G106)^2+(G103-G106)^2+(G104-G106)^2+(G105-G106)^2))^(1/2)</f>
        <v>4.766550115125193</v>
      </c>
      <c r="H107" s="21"/>
      <c r="I107" s="21">
        <f>((1/4)*((I101-I106)^2+(I102-I106)^2+(I103-I106)^2+(I104-I106)^2+(I105-I106)^2))^(1/2)</f>
        <v>0.4657238452130187</v>
      </c>
    </row>
    <row r="108" spans="1:9" ht="12.75">
      <c r="A108" s="4"/>
      <c r="B108" s="10" t="s">
        <v>15</v>
      </c>
      <c r="C108" s="5"/>
      <c r="D108" s="5"/>
      <c r="E108" s="5"/>
      <c r="F108" s="20"/>
      <c r="G108" s="21">
        <f>((G106/104.26)-1)*100</f>
        <v>0.9015921734126131</v>
      </c>
      <c r="H108" s="21"/>
      <c r="I108" s="21">
        <f>((I106/7.1418)-1)*100</f>
        <v>-5.16676468117282</v>
      </c>
    </row>
    <row r="109" spans="1:9" ht="12.75">
      <c r="A109" s="4">
        <v>4</v>
      </c>
      <c r="B109" s="5">
        <v>100</v>
      </c>
      <c r="C109" s="5">
        <v>1</v>
      </c>
      <c r="D109" s="5">
        <v>20</v>
      </c>
      <c r="E109" s="5">
        <v>1</v>
      </c>
      <c r="F109" s="20">
        <v>36</v>
      </c>
      <c r="G109" s="20">
        <v>102</v>
      </c>
      <c r="H109" s="20">
        <v>303</v>
      </c>
      <c r="I109" s="20">
        <v>7.36</v>
      </c>
    </row>
    <row r="110" spans="1:9" ht="12.75">
      <c r="A110" s="4">
        <v>7</v>
      </c>
      <c r="B110" s="5">
        <v>100</v>
      </c>
      <c r="C110" s="5">
        <v>2</v>
      </c>
      <c r="D110" s="5">
        <v>20</v>
      </c>
      <c r="E110" s="5">
        <v>1</v>
      </c>
      <c r="F110" s="20">
        <v>36</v>
      </c>
      <c r="G110" s="20">
        <v>97.5</v>
      </c>
      <c r="H110" s="20">
        <v>335</v>
      </c>
      <c r="I110" s="20">
        <v>6.164</v>
      </c>
    </row>
    <row r="111" spans="1:9" ht="12.75">
      <c r="A111" s="4">
        <v>10</v>
      </c>
      <c r="B111" s="5">
        <v>100</v>
      </c>
      <c r="C111" s="5">
        <v>3</v>
      </c>
      <c r="D111" s="5">
        <v>20</v>
      </c>
      <c r="E111" s="5">
        <v>1</v>
      </c>
      <c r="F111" s="20">
        <v>35</v>
      </c>
      <c r="G111" s="20">
        <v>106</v>
      </c>
      <c r="H111" s="20">
        <v>275</v>
      </c>
      <c r="I111" s="20">
        <v>7.586</v>
      </c>
    </row>
    <row r="112" spans="1:9" ht="12.75">
      <c r="A112" s="4">
        <v>14</v>
      </c>
      <c r="B112" s="5">
        <v>100</v>
      </c>
      <c r="C112" s="5">
        <v>4</v>
      </c>
      <c r="D112" s="5">
        <v>20</v>
      </c>
      <c r="E112" s="5">
        <v>1</v>
      </c>
      <c r="F112" s="20">
        <v>35</v>
      </c>
      <c r="G112" s="20">
        <v>106.5</v>
      </c>
      <c r="H112" s="20">
        <v>272</v>
      </c>
      <c r="I112" s="20">
        <v>6.945</v>
      </c>
    </row>
    <row r="113" spans="1:9" ht="12.75">
      <c r="A113" s="4">
        <v>17</v>
      </c>
      <c r="B113" s="5">
        <v>100</v>
      </c>
      <c r="C113" s="5">
        <v>5</v>
      </c>
      <c r="D113" s="5">
        <v>20</v>
      </c>
      <c r="E113" s="5">
        <v>1</v>
      </c>
      <c r="F113" s="20">
        <v>37</v>
      </c>
      <c r="G113" s="20">
        <v>104.4</v>
      </c>
      <c r="H113" s="20">
        <v>295</v>
      </c>
      <c r="I113" s="20">
        <v>6.177</v>
      </c>
    </row>
    <row r="114" spans="1:9" ht="12.75">
      <c r="A114" s="4"/>
      <c r="B114" s="10" t="s">
        <v>6</v>
      </c>
      <c r="C114" s="5"/>
      <c r="D114" s="5"/>
      <c r="E114" s="5"/>
      <c r="F114" s="20"/>
      <c r="G114" s="21">
        <f>SUM(G109:G113)/5</f>
        <v>103.28</v>
      </c>
      <c r="H114" s="21"/>
      <c r="I114" s="22">
        <f>SUM(I109:I113)/5</f>
        <v>6.8464</v>
      </c>
    </row>
    <row r="115" spans="1:9" ht="12.75">
      <c r="A115" s="4"/>
      <c r="B115" s="10" t="s">
        <v>7</v>
      </c>
      <c r="C115" s="5"/>
      <c r="D115" s="5"/>
      <c r="E115" s="5"/>
      <c r="F115" s="20"/>
      <c r="G115" s="21">
        <f>((1/4)*((G109-G114)^2+(G110-G114)^2+(G111-G114)^2+(G112-G114)^2+(G113-G114)^2))^(1/2)</f>
        <v>3.6765472933174688</v>
      </c>
      <c r="H115" s="21"/>
      <c r="I115" s="21">
        <f>((1/4)*((I109-I114)^2+(I110-I114)^2+(I111-I114)^2+(I112-I114)^2+(I113-I114)^2))^(1/2)</f>
        <v>0.658460553108537</v>
      </c>
    </row>
    <row r="116" spans="1:9" ht="12.75">
      <c r="A116" s="4"/>
      <c r="B116" s="10" t="s">
        <v>15</v>
      </c>
      <c r="C116" s="5"/>
      <c r="D116" s="5"/>
      <c r="E116" s="5"/>
      <c r="F116" s="20"/>
      <c r="G116" s="21">
        <f>((G114/104.34)-1)*100</f>
        <v>-1.0159095265478313</v>
      </c>
      <c r="H116" s="21"/>
      <c r="I116" s="21">
        <f>((I114/7.9184)-1)*100</f>
        <v>-13.53808850272783</v>
      </c>
    </row>
    <row r="117" spans="1:9" ht="12.75">
      <c r="A117" s="4">
        <v>6</v>
      </c>
      <c r="B117" s="5">
        <v>125</v>
      </c>
      <c r="C117" s="5">
        <v>1</v>
      </c>
      <c r="D117" s="5">
        <v>20</v>
      </c>
      <c r="E117" s="5">
        <v>1</v>
      </c>
      <c r="F117" s="20">
        <v>36</v>
      </c>
      <c r="G117" s="20">
        <v>109.6</v>
      </c>
      <c r="H117" s="20">
        <v>260</v>
      </c>
      <c r="I117" s="20">
        <v>8.522</v>
      </c>
    </row>
    <row r="118" spans="1:9" ht="12.75">
      <c r="A118" s="4">
        <v>9</v>
      </c>
      <c r="B118" s="5">
        <v>125</v>
      </c>
      <c r="C118" s="5">
        <v>2</v>
      </c>
      <c r="D118" s="5">
        <v>20</v>
      </c>
      <c r="E118" s="5">
        <v>1</v>
      </c>
      <c r="F118" s="20">
        <v>35</v>
      </c>
      <c r="G118" s="20">
        <v>99.5</v>
      </c>
      <c r="H118" s="20">
        <v>320</v>
      </c>
      <c r="I118" s="20">
        <v>8.247</v>
      </c>
    </row>
    <row r="119" spans="1:9" ht="12.75">
      <c r="A119" s="4">
        <v>18</v>
      </c>
      <c r="B119" s="5">
        <v>125</v>
      </c>
      <c r="C119" s="5">
        <v>3</v>
      </c>
      <c r="D119" s="5">
        <v>20</v>
      </c>
      <c r="E119" s="5">
        <v>1</v>
      </c>
      <c r="F119" s="20">
        <v>37</v>
      </c>
      <c r="G119" s="20">
        <v>107.5</v>
      </c>
      <c r="H119" s="20">
        <v>266</v>
      </c>
      <c r="I119" s="20">
        <v>8.852</v>
      </c>
    </row>
    <row r="120" spans="1:9" ht="12.75">
      <c r="A120" s="4">
        <v>24</v>
      </c>
      <c r="B120" s="5">
        <v>125</v>
      </c>
      <c r="C120" s="5">
        <v>4</v>
      </c>
      <c r="D120" s="5">
        <v>20</v>
      </c>
      <c r="E120" s="5">
        <v>1</v>
      </c>
      <c r="F120" s="20">
        <v>37</v>
      </c>
      <c r="G120" s="20">
        <v>105</v>
      </c>
      <c r="H120" s="20">
        <v>293</v>
      </c>
      <c r="I120" s="20">
        <v>8.54</v>
      </c>
    </row>
    <row r="121" spans="1:9" ht="12.75">
      <c r="A121" s="4">
        <v>25</v>
      </c>
      <c r="B121" s="5">
        <v>125</v>
      </c>
      <c r="C121" s="5">
        <v>5</v>
      </c>
      <c r="D121" s="5">
        <v>20</v>
      </c>
      <c r="E121" s="5">
        <v>1</v>
      </c>
      <c r="F121" s="20">
        <v>37</v>
      </c>
      <c r="G121" s="20">
        <v>108.4</v>
      </c>
      <c r="H121" s="20">
        <v>280</v>
      </c>
      <c r="I121" s="20">
        <v>7.326</v>
      </c>
    </row>
    <row r="122" spans="1:9" ht="12.75">
      <c r="A122" s="4"/>
      <c r="B122" s="10" t="s">
        <v>6</v>
      </c>
      <c r="C122" s="4"/>
      <c r="D122" s="4"/>
      <c r="E122" s="4"/>
      <c r="F122" s="4"/>
      <c r="G122" s="6">
        <f>SUM(G117:G121)/5</f>
        <v>106</v>
      </c>
      <c r="H122" s="6"/>
      <c r="I122" s="8">
        <f>SUM(I117:I121)/5</f>
        <v>8.2974</v>
      </c>
    </row>
    <row r="123" spans="1:9" ht="12.75">
      <c r="A123" s="4"/>
      <c r="B123" s="10" t="s">
        <v>7</v>
      </c>
      <c r="C123" s="4"/>
      <c r="D123" s="4"/>
      <c r="E123" s="4"/>
      <c r="F123" s="4"/>
      <c r="G123" s="6">
        <f>((1/4)*((G117-G122)^2+(G118-G122)^2+(G119-G122)^2+(G120-G122)^2+(G121-G122)^2))^(1/2)</f>
        <v>4.006869101929834</v>
      </c>
      <c r="H123" s="6"/>
      <c r="I123" s="6">
        <f>((1/4)*((I117-I122)^2+(I118-I122)^2+(I119-I122)^2+(I120-I122)^2+(I121-I122)^2))^(1/2)</f>
        <v>0.5837463490249855</v>
      </c>
    </row>
    <row r="124" spans="1:9" ht="12.75">
      <c r="A124" s="4"/>
      <c r="B124" s="10" t="s">
        <v>15</v>
      </c>
      <c r="C124" s="4"/>
      <c r="D124" s="4"/>
      <c r="E124" s="4"/>
      <c r="F124" s="4"/>
      <c r="G124" s="6">
        <f>((G122/101.1)-1)*100</f>
        <v>4.8466864490603445</v>
      </c>
      <c r="H124" s="6"/>
      <c r="I124" s="6">
        <f>((I122/8.9994)-1)*100</f>
        <v>-7.8005200346689785</v>
      </c>
    </row>
    <row r="125" spans="1:9" ht="12.75">
      <c r="A125" s="4"/>
      <c r="B125" s="11">
        <v>150</v>
      </c>
      <c r="C125" s="5">
        <v>1</v>
      </c>
      <c r="D125" s="5">
        <v>20</v>
      </c>
      <c r="E125" s="12">
        <v>1</v>
      </c>
      <c r="F125" s="23">
        <v>31</v>
      </c>
      <c r="G125" s="24">
        <v>115.8</v>
      </c>
      <c r="H125" s="24">
        <v>235</v>
      </c>
      <c r="I125" s="25">
        <v>7.587</v>
      </c>
    </row>
    <row r="126" spans="1:9" ht="12.75">
      <c r="A126" s="4"/>
      <c r="B126" s="11">
        <v>150</v>
      </c>
      <c r="C126" s="5">
        <v>2</v>
      </c>
      <c r="D126" s="5">
        <v>20</v>
      </c>
      <c r="E126" s="12">
        <v>1</v>
      </c>
      <c r="F126" s="23">
        <v>31</v>
      </c>
      <c r="G126" s="26">
        <v>104.5</v>
      </c>
      <c r="H126" s="24">
        <v>275</v>
      </c>
      <c r="I126" s="25">
        <v>7.981</v>
      </c>
    </row>
    <row r="127" spans="1:9" ht="12.75">
      <c r="A127" s="4"/>
      <c r="B127" s="11">
        <v>150</v>
      </c>
      <c r="C127" s="5">
        <v>3</v>
      </c>
      <c r="D127" s="5">
        <v>20</v>
      </c>
      <c r="E127" s="12">
        <v>1</v>
      </c>
      <c r="F127" s="23">
        <v>31</v>
      </c>
      <c r="G127" s="26">
        <v>117.5</v>
      </c>
      <c r="H127" s="24">
        <v>240</v>
      </c>
      <c r="I127" s="27">
        <v>9.018</v>
      </c>
    </row>
    <row r="128" spans="1:9" ht="12.75">
      <c r="A128" s="4"/>
      <c r="B128" s="11">
        <v>150</v>
      </c>
      <c r="C128" s="12">
        <v>4</v>
      </c>
      <c r="D128" s="12">
        <v>20</v>
      </c>
      <c r="E128" s="12">
        <v>1</v>
      </c>
      <c r="F128" s="23">
        <v>31</v>
      </c>
      <c r="G128" s="26">
        <v>112.5</v>
      </c>
      <c r="H128" s="24">
        <v>270</v>
      </c>
      <c r="I128" s="27">
        <v>9.949</v>
      </c>
    </row>
    <row r="129" spans="1:9" ht="12.75">
      <c r="A129" s="4"/>
      <c r="B129" s="11">
        <v>150</v>
      </c>
      <c r="C129" s="12">
        <v>5</v>
      </c>
      <c r="D129" s="12">
        <v>20</v>
      </c>
      <c r="E129" s="12">
        <v>1</v>
      </c>
      <c r="F129" s="23">
        <v>31</v>
      </c>
      <c r="G129" s="26">
        <v>115.8</v>
      </c>
      <c r="H129" s="24">
        <v>260</v>
      </c>
      <c r="I129" s="27">
        <v>9.936</v>
      </c>
    </row>
    <row r="130" spans="1:9" ht="12.75">
      <c r="A130" s="4"/>
      <c r="B130" s="10" t="s">
        <v>6</v>
      </c>
      <c r="C130" s="9"/>
      <c r="D130" s="9"/>
      <c r="E130" s="3"/>
      <c r="F130" s="28"/>
      <c r="G130" s="21">
        <f>SUM(G125:G129)/5</f>
        <v>113.22</v>
      </c>
      <c r="H130" s="21"/>
      <c r="I130" s="6">
        <f>SUM(I125:I129)/5</f>
        <v>8.8942</v>
      </c>
    </row>
    <row r="131" spans="1:9" ht="12.75">
      <c r="A131" s="4"/>
      <c r="B131" s="10" t="s">
        <v>7</v>
      </c>
      <c r="C131" s="9"/>
      <c r="D131" s="9"/>
      <c r="E131" s="3"/>
      <c r="F131" s="28"/>
      <c r="G131" s="21">
        <f>((1/4)*((G125-G130)^2+(G126-G130)^2+(G127-G130)^2+(G128-G130)^2+(G129-G130)^2))^(1/2)</f>
        <v>5.2006730333678926</v>
      </c>
      <c r="H131" s="21"/>
      <c r="I131" s="6">
        <f>((1/4)*((I125-I130)^2+(I126-I130)^2+(I127-I130)^2+(I128-I130)^2+(I129-I130)^2))^(1/2)</f>
        <v>1.090410794150535</v>
      </c>
    </row>
    <row r="132" spans="1:9" ht="12.75">
      <c r="A132" s="4"/>
      <c r="B132" s="10" t="s">
        <v>15</v>
      </c>
      <c r="C132" s="9"/>
      <c r="D132" s="9"/>
      <c r="E132" s="3"/>
      <c r="F132" s="28"/>
      <c r="G132" s="21">
        <f>((G130/101.98)-1)*100</f>
        <v>11.021768974308689</v>
      </c>
      <c r="H132" s="21"/>
      <c r="I132" s="6">
        <f>((I130/10.0684)-1)*100</f>
        <v>-11.662230344444014</v>
      </c>
    </row>
    <row r="133" spans="1:9" ht="12.75">
      <c r="A133" s="4"/>
      <c r="B133" s="11">
        <v>200</v>
      </c>
      <c r="C133" s="5">
        <v>1</v>
      </c>
      <c r="D133" s="5">
        <v>20</v>
      </c>
      <c r="E133" s="12">
        <v>1</v>
      </c>
      <c r="F133" s="23">
        <v>31</v>
      </c>
      <c r="G133" s="26">
        <v>114.2</v>
      </c>
      <c r="H133" s="26">
        <v>260</v>
      </c>
      <c r="I133" s="26">
        <v>9.288</v>
      </c>
    </row>
    <row r="134" spans="1:9" ht="12.75">
      <c r="A134" s="4"/>
      <c r="B134" s="11">
        <v>200</v>
      </c>
      <c r="C134" s="5">
        <v>2</v>
      </c>
      <c r="D134" s="5">
        <v>20</v>
      </c>
      <c r="E134" s="12">
        <v>1</v>
      </c>
      <c r="F134" s="23">
        <v>31</v>
      </c>
      <c r="G134" s="26">
        <v>114.5</v>
      </c>
      <c r="H134" s="26">
        <v>269</v>
      </c>
      <c r="I134" s="26">
        <v>11.193</v>
      </c>
    </row>
    <row r="135" spans="1:9" ht="12.75">
      <c r="A135" s="4"/>
      <c r="B135" s="11">
        <v>200</v>
      </c>
      <c r="C135" s="5">
        <v>3</v>
      </c>
      <c r="D135" s="5">
        <v>20</v>
      </c>
      <c r="E135" s="12">
        <v>1</v>
      </c>
      <c r="F135" s="23">
        <v>31</v>
      </c>
      <c r="G135" s="26">
        <v>112.3</v>
      </c>
      <c r="H135" s="26">
        <v>273</v>
      </c>
      <c r="I135" s="26">
        <v>8.244</v>
      </c>
    </row>
    <row r="136" spans="1:9" ht="12.75">
      <c r="A136" s="4"/>
      <c r="B136" s="11">
        <v>200</v>
      </c>
      <c r="C136" s="12">
        <v>4</v>
      </c>
      <c r="D136" s="12">
        <v>20</v>
      </c>
      <c r="E136" s="12">
        <v>1</v>
      </c>
      <c r="F136" s="23">
        <v>31</v>
      </c>
      <c r="G136" s="26">
        <v>111.8</v>
      </c>
      <c r="H136" s="26">
        <v>280</v>
      </c>
      <c r="I136" s="26">
        <v>11.37</v>
      </c>
    </row>
    <row r="137" spans="1:9" ht="12.75">
      <c r="A137" s="4"/>
      <c r="B137" s="11">
        <v>200</v>
      </c>
      <c r="C137" s="12">
        <v>5</v>
      </c>
      <c r="D137" s="12">
        <v>20</v>
      </c>
      <c r="E137" s="12">
        <v>1</v>
      </c>
      <c r="F137" s="23">
        <v>31</v>
      </c>
      <c r="G137" s="26">
        <v>113.9</v>
      </c>
      <c r="H137" s="26">
        <v>277</v>
      </c>
      <c r="I137" s="26">
        <v>11.573</v>
      </c>
    </row>
    <row r="138" spans="1:9" ht="12.75">
      <c r="A138" s="4"/>
      <c r="B138" s="10" t="s">
        <v>6</v>
      </c>
      <c r="C138" s="9"/>
      <c r="D138" s="9"/>
      <c r="E138" s="3"/>
      <c r="F138" s="28"/>
      <c r="G138" s="21">
        <f>SUM(G133:G137)/5</f>
        <v>113.34</v>
      </c>
      <c r="H138" s="21"/>
      <c r="I138" s="8">
        <f>SUM(I133:I137)/5</f>
        <v>10.3336</v>
      </c>
    </row>
    <row r="139" spans="1:9" ht="12.75">
      <c r="A139" s="4"/>
      <c r="B139" s="10" t="s">
        <v>7</v>
      </c>
      <c r="C139" s="9"/>
      <c r="D139" s="9"/>
      <c r="E139" s="3"/>
      <c r="F139" s="28"/>
      <c r="G139" s="21">
        <f>((1/4)*((G133-G138)^2+(G134-G138)^2+(G135-G138)^2+(G136-G138)^2+(G137-G138)^2))^(1/2)</f>
        <v>1.209545369136688</v>
      </c>
      <c r="H139" s="21"/>
      <c r="I139" s="6">
        <f>((1/4)*((I133-I138)^2+(I134-I138)^2+(I135-I138)^2+(I136-I138)^2+(I137-I138)^2))^(1/2)</f>
        <v>1.4839569737697922</v>
      </c>
    </row>
    <row r="140" spans="1:9" ht="12.75">
      <c r="A140" s="4"/>
      <c r="B140" s="10" t="s">
        <v>15</v>
      </c>
      <c r="C140" s="9"/>
      <c r="D140" s="9"/>
      <c r="E140" s="3"/>
      <c r="F140" s="28"/>
      <c r="G140" s="21">
        <f>((G138/104.92)-1)*100</f>
        <v>8.025162028211973</v>
      </c>
      <c r="H140" s="21"/>
      <c r="I140" s="6">
        <f>((I138/12.1198)-1)*100</f>
        <v>-14.737866961501012</v>
      </c>
    </row>
    <row r="141" spans="1:9" ht="12.75">
      <c r="A141" s="4"/>
      <c r="B141" s="11">
        <v>300</v>
      </c>
      <c r="C141" s="5">
        <v>1</v>
      </c>
      <c r="D141" s="5">
        <v>20</v>
      </c>
      <c r="E141" s="12">
        <v>1</v>
      </c>
      <c r="F141" s="23">
        <v>31</v>
      </c>
      <c r="G141" s="26">
        <v>114.5</v>
      </c>
      <c r="H141" s="26">
        <v>289</v>
      </c>
      <c r="I141" s="26">
        <v>9.818</v>
      </c>
    </row>
    <row r="142" spans="1:9" ht="12.75">
      <c r="A142" s="4"/>
      <c r="B142" s="11">
        <v>300</v>
      </c>
      <c r="C142" s="5">
        <v>2</v>
      </c>
      <c r="D142" s="5">
        <v>20</v>
      </c>
      <c r="E142" s="12">
        <v>1</v>
      </c>
      <c r="F142" s="23">
        <v>31</v>
      </c>
      <c r="G142" s="26">
        <v>112</v>
      </c>
      <c r="H142" s="26">
        <v>303</v>
      </c>
      <c r="I142" s="26">
        <v>12.584</v>
      </c>
    </row>
    <row r="143" spans="1:9" ht="12.75">
      <c r="A143" s="4"/>
      <c r="B143" s="11">
        <v>300</v>
      </c>
      <c r="C143" s="5">
        <v>3</v>
      </c>
      <c r="D143" s="5">
        <v>20</v>
      </c>
      <c r="E143" s="12">
        <v>1</v>
      </c>
      <c r="F143" s="23">
        <v>31</v>
      </c>
      <c r="G143" s="26">
        <v>105</v>
      </c>
      <c r="H143" s="26">
        <v>288</v>
      </c>
      <c r="I143" s="26">
        <v>12.046</v>
      </c>
    </row>
    <row r="144" spans="1:9" ht="12.75">
      <c r="A144" s="4"/>
      <c r="B144" s="11">
        <v>300</v>
      </c>
      <c r="C144" s="12">
        <v>4</v>
      </c>
      <c r="D144" s="12">
        <v>20</v>
      </c>
      <c r="E144" s="12">
        <v>1</v>
      </c>
      <c r="F144" s="23">
        <v>31</v>
      </c>
      <c r="G144" s="26">
        <v>114.1</v>
      </c>
      <c r="H144" s="26">
        <v>284</v>
      </c>
      <c r="I144" s="26">
        <v>13.31</v>
      </c>
    </row>
    <row r="145" spans="1:9" ht="12.75">
      <c r="A145" s="4"/>
      <c r="B145" s="11">
        <v>300</v>
      </c>
      <c r="C145" s="12">
        <v>5</v>
      </c>
      <c r="D145" s="12">
        <v>20</v>
      </c>
      <c r="E145" s="12">
        <v>1</v>
      </c>
      <c r="F145" s="23">
        <v>31</v>
      </c>
      <c r="G145" s="26">
        <v>113.2</v>
      </c>
      <c r="H145" s="26">
        <v>282</v>
      </c>
      <c r="I145" s="26">
        <v>13.087</v>
      </c>
    </row>
    <row r="146" spans="1:9" ht="12.75">
      <c r="A146" s="4"/>
      <c r="B146" s="10" t="s">
        <v>6</v>
      </c>
      <c r="C146" s="29"/>
      <c r="D146" s="9"/>
      <c r="E146" s="3"/>
      <c r="F146" s="28"/>
      <c r="G146" s="21">
        <f>SUM(G141:G145)/5</f>
        <v>111.76000000000002</v>
      </c>
      <c r="H146" s="21"/>
      <c r="I146" s="8">
        <f>SUM(I141:I145)/5</f>
        <v>12.169</v>
      </c>
    </row>
    <row r="147" spans="1:9" ht="12.75">
      <c r="A147" s="4"/>
      <c r="B147" s="10" t="s">
        <v>7</v>
      </c>
      <c r="C147" s="29"/>
      <c r="D147" s="9"/>
      <c r="E147" s="3"/>
      <c r="F147" s="28"/>
      <c r="G147" s="21">
        <f>((1/4)*((G141-G146)^2+(G142-G146)^2+(G143-G146)^2+(G144-G146)^2+(G145-G146)^2))^(1/2)</f>
        <v>3.8991024608235154</v>
      </c>
      <c r="H147" s="21"/>
      <c r="I147" s="6">
        <f>((1/4)*((I141-I146)^2+(I142-I146)^2+(I143-I146)^2+(I144-I146)^2+(I145-I146)^2))^(1/2)</f>
        <v>1.4017096703668703</v>
      </c>
    </row>
    <row r="148" spans="1:9" ht="12.75">
      <c r="A148" s="4"/>
      <c r="B148" s="10" t="s">
        <v>15</v>
      </c>
      <c r="C148" s="29"/>
      <c r="D148" s="9"/>
      <c r="E148" s="3"/>
      <c r="F148" s="28"/>
      <c r="G148" s="21">
        <f>((G146/103.72)-1)*100</f>
        <v>7.751639028152746</v>
      </c>
      <c r="H148" s="21"/>
      <c r="I148" s="6">
        <f>((I146/14.771)-1)*100</f>
        <v>-17.61559813147383</v>
      </c>
    </row>
    <row r="149" spans="1:9" ht="12.75">
      <c r="A149" s="4"/>
      <c r="B149" s="11">
        <v>450</v>
      </c>
      <c r="C149" s="12">
        <v>1</v>
      </c>
      <c r="D149" s="5">
        <v>20</v>
      </c>
      <c r="E149" s="12">
        <v>1</v>
      </c>
      <c r="F149" s="23">
        <v>31</v>
      </c>
      <c r="G149" s="26">
        <v>113.5</v>
      </c>
      <c r="H149" s="26">
        <v>305</v>
      </c>
      <c r="I149" s="26">
        <v>11.598</v>
      </c>
    </row>
    <row r="150" spans="1:9" ht="12.75">
      <c r="A150" s="4"/>
      <c r="B150" s="11">
        <v>450</v>
      </c>
      <c r="C150" s="12">
        <v>2</v>
      </c>
      <c r="D150" s="5">
        <v>20</v>
      </c>
      <c r="E150" s="12">
        <v>1</v>
      </c>
      <c r="F150" s="23">
        <v>31</v>
      </c>
      <c r="G150" s="26">
        <v>114.5</v>
      </c>
      <c r="H150" s="26">
        <v>310</v>
      </c>
      <c r="I150" s="26">
        <v>13.756</v>
      </c>
    </row>
    <row r="151" spans="1:9" ht="12.75">
      <c r="A151" s="4"/>
      <c r="B151" s="11">
        <v>450</v>
      </c>
      <c r="C151" s="5">
        <v>3</v>
      </c>
      <c r="D151" s="5">
        <v>20</v>
      </c>
      <c r="E151" s="12">
        <v>1</v>
      </c>
      <c r="F151" s="23">
        <v>31</v>
      </c>
      <c r="G151" s="26">
        <v>114</v>
      </c>
      <c r="H151" s="26">
        <v>295</v>
      </c>
      <c r="I151" s="26">
        <v>13.464</v>
      </c>
    </row>
    <row r="152" spans="1:9" ht="12.75">
      <c r="A152" s="4"/>
      <c r="B152" s="30">
        <v>450</v>
      </c>
      <c r="C152" s="12">
        <v>4</v>
      </c>
      <c r="D152" s="12">
        <v>20</v>
      </c>
      <c r="E152" s="12">
        <v>1</v>
      </c>
      <c r="F152" s="23">
        <v>31</v>
      </c>
      <c r="G152" s="26">
        <v>119.2</v>
      </c>
      <c r="H152" s="26">
        <v>298</v>
      </c>
      <c r="I152" s="26">
        <v>14.492</v>
      </c>
    </row>
    <row r="153" spans="1:9" ht="12.75">
      <c r="A153" s="4"/>
      <c r="B153" s="30">
        <v>450</v>
      </c>
      <c r="C153" s="12">
        <v>5</v>
      </c>
      <c r="D153" s="12">
        <v>20</v>
      </c>
      <c r="E153" s="12">
        <v>1</v>
      </c>
      <c r="F153" s="23">
        <v>31</v>
      </c>
      <c r="G153" s="26">
        <v>119</v>
      </c>
      <c r="H153" s="26">
        <v>296</v>
      </c>
      <c r="I153" s="26">
        <v>14.398</v>
      </c>
    </row>
    <row r="154" spans="1:9" ht="12.75">
      <c r="A154" s="4"/>
      <c r="B154" s="10" t="s">
        <v>6</v>
      </c>
      <c r="C154" s="31"/>
      <c r="D154" s="3"/>
      <c r="E154" s="3"/>
      <c r="F154" s="3"/>
      <c r="G154" s="6">
        <f>SUM(G149:G153)/5</f>
        <v>116.04</v>
      </c>
      <c r="H154" s="6"/>
      <c r="I154" s="8">
        <f>SUM(I149:I153)/5</f>
        <v>13.541599999999999</v>
      </c>
    </row>
    <row r="155" spans="1:9" ht="12.75">
      <c r="A155" s="4"/>
      <c r="B155" s="10" t="s">
        <v>7</v>
      </c>
      <c r="C155" s="31"/>
      <c r="D155" s="3"/>
      <c r="E155" s="3"/>
      <c r="F155" s="3"/>
      <c r="G155" s="6">
        <f>((1/4)*((G149-G154)^2+(G150-G154)^2+(G151-G154)^2+(G152-G154)^2+(G153-G154)^2))^(1/2)</f>
        <v>2.816558183315233</v>
      </c>
      <c r="H155" s="6"/>
      <c r="I155" s="6">
        <f>((1/4)*((I149-I154)^2+(I150-I154)^2+(I151-I154)^2+(I152-I154)^2+(I153-I154)^2))^(1/2)</f>
        <v>1.16900076988854</v>
      </c>
    </row>
    <row r="156" spans="1:9" ht="12.75">
      <c r="A156" s="4"/>
      <c r="B156" s="10" t="s">
        <v>15</v>
      </c>
      <c r="C156" s="31"/>
      <c r="D156" s="3"/>
      <c r="E156" s="3"/>
      <c r="F156" s="3"/>
      <c r="G156" s="6">
        <f>((G154/104.3)-1)*100</f>
        <v>11.255992329817843</v>
      </c>
      <c r="H156" s="6"/>
      <c r="I156" s="6">
        <f>((I154/18.236)-1)*100</f>
        <v>-25.742487387585</v>
      </c>
    </row>
    <row r="157" spans="2:3" ht="12.75">
      <c r="B157" s="32"/>
      <c r="C157" s="33"/>
    </row>
    <row r="158" spans="1:9" ht="12.75">
      <c r="A158" s="4">
        <v>1</v>
      </c>
      <c r="B158" s="5">
        <v>50</v>
      </c>
      <c r="C158" s="5">
        <v>1</v>
      </c>
      <c r="D158" s="5">
        <v>50</v>
      </c>
      <c r="E158" s="5">
        <v>1</v>
      </c>
      <c r="F158" s="20">
        <v>33</v>
      </c>
      <c r="G158" s="20">
        <v>103.8</v>
      </c>
      <c r="H158" s="20">
        <v>273</v>
      </c>
      <c r="I158" s="20">
        <v>5.919</v>
      </c>
    </row>
    <row r="159" spans="1:9" ht="12.75">
      <c r="A159" s="4">
        <v>10</v>
      </c>
      <c r="B159" s="5">
        <v>50</v>
      </c>
      <c r="C159" s="5">
        <v>2</v>
      </c>
      <c r="D159" s="5">
        <v>50</v>
      </c>
      <c r="E159" s="5">
        <v>1</v>
      </c>
      <c r="F159" s="20">
        <v>28</v>
      </c>
      <c r="G159" s="20">
        <v>108</v>
      </c>
      <c r="H159" s="20">
        <v>228</v>
      </c>
      <c r="I159" s="20">
        <v>5.651</v>
      </c>
    </row>
    <row r="160" spans="1:9" ht="12.75">
      <c r="A160" s="4">
        <v>20</v>
      </c>
      <c r="B160" s="5">
        <v>50</v>
      </c>
      <c r="C160" s="5">
        <v>3</v>
      </c>
      <c r="D160" s="5">
        <v>50</v>
      </c>
      <c r="E160" s="5">
        <v>1</v>
      </c>
      <c r="F160" s="20">
        <v>29</v>
      </c>
      <c r="G160" s="20">
        <v>110.9</v>
      </c>
      <c r="H160" s="20">
        <v>245</v>
      </c>
      <c r="I160" s="20">
        <v>5.708</v>
      </c>
    </row>
    <row r="161" spans="1:9" ht="12.75">
      <c r="A161" s="4">
        <v>25</v>
      </c>
      <c r="B161" s="5">
        <v>50</v>
      </c>
      <c r="C161" s="5">
        <v>4</v>
      </c>
      <c r="D161" s="5">
        <v>50</v>
      </c>
      <c r="E161" s="5">
        <v>1</v>
      </c>
      <c r="F161" s="20">
        <v>27.5</v>
      </c>
      <c r="G161" s="20">
        <v>116.6</v>
      </c>
      <c r="H161" s="20">
        <v>203</v>
      </c>
      <c r="I161" s="20">
        <v>5.836</v>
      </c>
    </row>
    <row r="162" spans="1:9" ht="12.75">
      <c r="A162" s="4">
        <v>34</v>
      </c>
      <c r="B162" s="5">
        <v>50</v>
      </c>
      <c r="C162" s="5">
        <v>5</v>
      </c>
      <c r="D162" s="5">
        <v>50</v>
      </c>
      <c r="E162" s="5">
        <v>1</v>
      </c>
      <c r="F162" s="20">
        <v>28</v>
      </c>
      <c r="G162" s="20">
        <v>114.3</v>
      </c>
      <c r="H162" s="20">
        <v>213</v>
      </c>
      <c r="I162" s="20">
        <v>5.524</v>
      </c>
    </row>
    <row r="163" spans="1:9" ht="12.75">
      <c r="A163" s="4"/>
      <c r="B163" s="10" t="s">
        <v>6</v>
      </c>
      <c r="C163" s="9"/>
      <c r="D163" s="9"/>
      <c r="E163" s="9"/>
      <c r="F163" s="28"/>
      <c r="G163" s="21">
        <f>SUM(G158:G162)/5</f>
        <v>110.72</v>
      </c>
      <c r="H163" s="21"/>
      <c r="I163" s="8">
        <f>SUM(I158:I162)/5</f>
        <v>5.7276</v>
      </c>
    </row>
    <row r="164" spans="1:9" ht="12.75">
      <c r="A164" s="4"/>
      <c r="B164" s="10" t="s">
        <v>7</v>
      </c>
      <c r="C164" s="9"/>
      <c r="D164" s="9"/>
      <c r="E164" s="9"/>
      <c r="F164" s="28"/>
      <c r="G164" s="21">
        <f>((1/4)*((G158-G163)^2+(G159-G163)^2+(G160-G163)^2+(G161-G163)^2+(G162-G163)^2))^(1/2)</f>
        <v>5.067247773693328</v>
      </c>
      <c r="H164" s="21"/>
      <c r="I164" s="6">
        <f>((1/4)*((I158-I163)^2+(I159-I163)^2+(I160-I163)^2+(I161-I163)^2+(I162-I163)^2))^(1/2)</f>
        <v>0.15499129007786205</v>
      </c>
    </row>
    <row r="165" spans="1:9" ht="12.75">
      <c r="A165" s="4"/>
      <c r="B165" s="10" t="s">
        <v>15</v>
      </c>
      <c r="C165" s="9"/>
      <c r="D165" s="9"/>
      <c r="E165" s="9"/>
      <c r="F165" s="28"/>
      <c r="G165" s="21">
        <f>((G163/98.98)-1)*100</f>
        <v>11.860982016569</v>
      </c>
      <c r="H165" s="21"/>
      <c r="I165" s="6">
        <f>((I163/5.346)-1)*100</f>
        <v>7.138047138047132</v>
      </c>
    </row>
    <row r="166" spans="1:9" ht="12.75">
      <c r="A166" s="4">
        <v>2</v>
      </c>
      <c r="B166" s="5">
        <v>80</v>
      </c>
      <c r="C166" s="5">
        <v>1</v>
      </c>
      <c r="D166" s="5">
        <v>50</v>
      </c>
      <c r="E166" s="5">
        <v>1</v>
      </c>
      <c r="F166" s="20">
        <v>33</v>
      </c>
      <c r="G166" s="20">
        <v>106.5</v>
      </c>
      <c r="H166" s="20">
        <v>281</v>
      </c>
      <c r="I166" s="20">
        <v>5.126</v>
      </c>
    </row>
    <row r="167" spans="1:9" ht="12.75">
      <c r="A167" s="4">
        <v>11</v>
      </c>
      <c r="B167" s="5">
        <v>80</v>
      </c>
      <c r="C167" s="5">
        <v>2</v>
      </c>
      <c r="D167" s="5">
        <v>50</v>
      </c>
      <c r="E167" s="5">
        <v>1</v>
      </c>
      <c r="F167" s="20">
        <v>33</v>
      </c>
      <c r="G167" s="20">
        <v>111.2</v>
      </c>
      <c r="H167" s="20">
        <v>247</v>
      </c>
      <c r="I167" s="20">
        <v>5.908</v>
      </c>
    </row>
    <row r="168" spans="1:9" ht="12.75">
      <c r="A168" s="4">
        <v>15</v>
      </c>
      <c r="B168" s="5">
        <v>80</v>
      </c>
      <c r="C168" s="5">
        <v>3</v>
      </c>
      <c r="D168" s="5">
        <v>50</v>
      </c>
      <c r="E168" s="5">
        <v>1</v>
      </c>
      <c r="F168" s="20">
        <v>28</v>
      </c>
      <c r="G168" s="20">
        <v>110.5</v>
      </c>
      <c r="H168" s="20">
        <v>252</v>
      </c>
      <c r="I168" s="20">
        <v>6.211</v>
      </c>
    </row>
    <row r="169" spans="1:9" ht="12.75">
      <c r="A169" s="4">
        <v>29</v>
      </c>
      <c r="B169" s="5">
        <v>80</v>
      </c>
      <c r="C169" s="5">
        <v>4</v>
      </c>
      <c r="D169" s="5">
        <v>50</v>
      </c>
      <c r="E169" s="5">
        <v>1</v>
      </c>
      <c r="F169" s="20">
        <v>27</v>
      </c>
      <c r="G169" s="20">
        <v>116.2</v>
      </c>
      <c r="H169" s="20">
        <v>220</v>
      </c>
      <c r="I169" s="20">
        <v>7.344</v>
      </c>
    </row>
    <row r="170" spans="1:9" ht="12.75">
      <c r="A170" s="4">
        <v>35</v>
      </c>
      <c r="B170" s="5">
        <v>80</v>
      </c>
      <c r="C170" s="5">
        <v>5</v>
      </c>
      <c r="D170" s="5">
        <v>50</v>
      </c>
      <c r="E170" s="5">
        <v>1</v>
      </c>
      <c r="F170" s="20">
        <v>28</v>
      </c>
      <c r="G170" s="20">
        <v>115</v>
      </c>
      <c r="H170" s="20">
        <v>233</v>
      </c>
      <c r="I170" s="20">
        <v>6.941</v>
      </c>
    </row>
    <row r="171" spans="1:9" ht="12.75">
      <c r="A171" s="4"/>
      <c r="B171" s="10" t="s">
        <v>6</v>
      </c>
      <c r="C171" s="9"/>
      <c r="D171" s="9"/>
      <c r="E171" s="9"/>
      <c r="F171" s="28"/>
      <c r="G171" s="21">
        <f>SUM(G166:G170)/5</f>
        <v>111.88</v>
      </c>
      <c r="H171" s="21"/>
      <c r="I171" s="8">
        <f>SUM(I166:I170)/5</f>
        <v>6.306</v>
      </c>
    </row>
    <row r="172" spans="1:9" ht="12.75">
      <c r="A172" s="4"/>
      <c r="B172" s="10" t="s">
        <v>7</v>
      </c>
      <c r="C172" s="9"/>
      <c r="D172" s="9"/>
      <c r="E172" s="9"/>
      <c r="F172" s="28"/>
      <c r="G172" s="21">
        <f>((1/4)*((G166-G171)^2+(G167-G171)^2+(G168-G171)^2+(G169-G171)^2+(G170-G171)^2))^(1/2)</f>
        <v>3.8635475925630844</v>
      </c>
      <c r="H172" s="21"/>
      <c r="I172" s="6">
        <f>((1/4)*((I166-I171)^2+(I167-I171)^2+(I168-I171)^2+(I169-I171)^2+(I170-I171)^2))^(1/2)</f>
        <v>0.8718511914311983</v>
      </c>
    </row>
    <row r="173" spans="1:9" ht="12.75">
      <c r="A173" s="4"/>
      <c r="B173" s="10" t="s">
        <v>15</v>
      </c>
      <c r="C173" s="9"/>
      <c r="D173" s="9"/>
      <c r="E173" s="9"/>
      <c r="F173" s="28"/>
      <c r="G173" s="21">
        <f>((G171/104.26)-1)*100</f>
        <v>7.308651448302306</v>
      </c>
      <c r="H173" s="21"/>
      <c r="I173" s="6">
        <f>((I171/7.1418)-1)*100</f>
        <v>-11.702932033941027</v>
      </c>
    </row>
    <row r="174" spans="1:9" ht="12.75">
      <c r="A174" s="4">
        <v>5</v>
      </c>
      <c r="B174" s="5">
        <v>100</v>
      </c>
      <c r="C174" s="5">
        <v>1</v>
      </c>
      <c r="D174" s="5">
        <v>50</v>
      </c>
      <c r="E174" s="5">
        <v>1</v>
      </c>
      <c r="F174" s="20">
        <v>33</v>
      </c>
      <c r="G174" s="20">
        <v>117</v>
      </c>
      <c r="H174" s="20">
        <v>222</v>
      </c>
      <c r="I174" s="20">
        <v>6.567</v>
      </c>
    </row>
    <row r="175" spans="1:9" ht="12.75">
      <c r="A175" s="4">
        <v>16</v>
      </c>
      <c r="B175" s="5">
        <v>100</v>
      </c>
      <c r="C175" s="5">
        <v>2</v>
      </c>
      <c r="D175" s="5">
        <v>50</v>
      </c>
      <c r="E175" s="5">
        <v>1</v>
      </c>
      <c r="F175" s="20">
        <v>28</v>
      </c>
      <c r="G175" s="20">
        <v>111.8</v>
      </c>
      <c r="H175" s="20">
        <v>258</v>
      </c>
      <c r="I175" s="20">
        <v>7.852</v>
      </c>
    </row>
    <row r="176" spans="1:9" ht="12.75">
      <c r="A176" s="4">
        <v>21</v>
      </c>
      <c r="B176" s="5">
        <v>100</v>
      </c>
      <c r="C176" s="5">
        <v>3</v>
      </c>
      <c r="D176" s="5">
        <v>50</v>
      </c>
      <c r="E176" s="5">
        <v>1</v>
      </c>
      <c r="F176" s="20">
        <v>29</v>
      </c>
      <c r="G176" s="20">
        <v>109.3</v>
      </c>
      <c r="H176" s="20">
        <v>260</v>
      </c>
      <c r="I176" s="20">
        <v>6.69</v>
      </c>
    </row>
    <row r="177" spans="1:9" ht="12.75">
      <c r="A177" s="4">
        <v>26</v>
      </c>
      <c r="B177" s="5">
        <v>100</v>
      </c>
      <c r="C177" s="5">
        <v>4</v>
      </c>
      <c r="D177" s="5">
        <v>50</v>
      </c>
      <c r="E177" s="5">
        <v>1</v>
      </c>
      <c r="F177" s="20">
        <v>27.5</v>
      </c>
      <c r="G177" s="20">
        <v>105.5</v>
      </c>
      <c r="H177" s="20">
        <v>233</v>
      </c>
      <c r="I177" s="20">
        <v>6.559</v>
      </c>
    </row>
    <row r="178" spans="1:9" ht="12.75">
      <c r="A178" s="4">
        <v>37</v>
      </c>
      <c r="B178" s="5">
        <v>100</v>
      </c>
      <c r="C178" s="5">
        <v>5</v>
      </c>
      <c r="D178" s="5">
        <v>50</v>
      </c>
      <c r="E178" s="5">
        <v>1</v>
      </c>
      <c r="F178" s="20">
        <v>29</v>
      </c>
      <c r="G178" s="20">
        <v>107.6</v>
      </c>
      <c r="H178" s="20">
        <v>214</v>
      </c>
      <c r="I178" s="20">
        <v>7.346</v>
      </c>
    </row>
    <row r="179" spans="1:9" ht="12.75">
      <c r="A179" s="4"/>
      <c r="B179" s="10" t="s">
        <v>6</v>
      </c>
      <c r="C179" s="9"/>
      <c r="D179" s="9"/>
      <c r="E179" s="9"/>
      <c r="F179" s="28"/>
      <c r="G179" s="21">
        <f>SUM(G174:G178)/5</f>
        <v>110.24000000000001</v>
      </c>
      <c r="H179" s="21"/>
      <c r="I179" s="6">
        <f>SUM(I174:I178)/5</f>
        <v>7.002800000000001</v>
      </c>
    </row>
    <row r="180" spans="1:9" ht="12.75">
      <c r="A180" s="4"/>
      <c r="B180" s="10" t="s">
        <v>7</v>
      </c>
      <c r="C180" s="9"/>
      <c r="D180" s="9"/>
      <c r="E180" s="9"/>
      <c r="F180" s="28"/>
      <c r="G180" s="21">
        <f>((1/4)*((G174-G179)^2+(G175-G179)^2+(G176-G179)^2+(G177-G179)^2+(G178-G179)^2))^(1/2)</f>
        <v>4.428656681207069</v>
      </c>
      <c r="H180" s="21"/>
      <c r="I180" s="6">
        <f>((1/4)*((I174-I179)^2+(I175-I179)^2+(I176-I179)^2+(I177-I179)^2+(I178-I179)^2))^(1/2)</f>
        <v>0.5752501195132427</v>
      </c>
    </row>
    <row r="181" spans="1:9" ht="12.75">
      <c r="A181" s="4"/>
      <c r="B181" s="10" t="s">
        <v>15</v>
      </c>
      <c r="C181" s="9"/>
      <c r="D181" s="9"/>
      <c r="E181" s="9"/>
      <c r="F181" s="28"/>
      <c r="G181" s="21">
        <f>((G179/104.34)-1)*100</f>
        <v>5.654590760973743</v>
      </c>
      <c r="H181" s="21"/>
      <c r="I181" s="6">
        <f>((I179/7.9184)-1)*100</f>
        <v>-11.562942008486555</v>
      </c>
    </row>
    <row r="182" spans="1:9" ht="12.75">
      <c r="A182" s="4">
        <v>3</v>
      </c>
      <c r="B182" s="5">
        <v>125</v>
      </c>
      <c r="C182" s="5">
        <v>1</v>
      </c>
      <c r="D182" s="5">
        <v>50</v>
      </c>
      <c r="E182" s="5">
        <v>1</v>
      </c>
      <c r="F182" s="20">
        <v>33</v>
      </c>
      <c r="G182" s="20">
        <v>109.2</v>
      </c>
      <c r="H182" s="20">
        <v>279</v>
      </c>
      <c r="I182" s="20">
        <v>8.245</v>
      </c>
    </row>
    <row r="183" spans="1:9" ht="12.75">
      <c r="A183" s="4">
        <v>18</v>
      </c>
      <c r="B183" s="5">
        <v>125</v>
      </c>
      <c r="C183" s="5">
        <v>2</v>
      </c>
      <c r="D183" s="5">
        <v>50</v>
      </c>
      <c r="E183" s="5">
        <v>1</v>
      </c>
      <c r="F183" s="20">
        <v>28</v>
      </c>
      <c r="G183" s="20">
        <v>101.2</v>
      </c>
      <c r="H183" s="20">
        <v>330</v>
      </c>
      <c r="I183" s="20">
        <v>5.906</v>
      </c>
    </row>
    <row r="184" spans="1:9" ht="12.75">
      <c r="A184" s="4">
        <v>24</v>
      </c>
      <c r="B184" s="5">
        <v>125</v>
      </c>
      <c r="C184" s="5">
        <v>3</v>
      </c>
      <c r="D184" s="5">
        <v>50</v>
      </c>
      <c r="E184" s="5">
        <v>1</v>
      </c>
      <c r="F184" s="20">
        <v>29</v>
      </c>
      <c r="G184" s="20">
        <v>106.3</v>
      </c>
      <c r="H184" s="20">
        <v>303</v>
      </c>
      <c r="I184" s="20">
        <v>8.383</v>
      </c>
    </row>
    <row r="185" spans="1:9" ht="12.75">
      <c r="A185" s="4">
        <v>27</v>
      </c>
      <c r="B185" s="5">
        <v>125</v>
      </c>
      <c r="C185" s="5">
        <v>4</v>
      </c>
      <c r="D185" s="5">
        <v>50</v>
      </c>
      <c r="E185" s="5">
        <v>1</v>
      </c>
      <c r="F185" s="20">
        <v>27</v>
      </c>
      <c r="G185" s="20">
        <v>114.4</v>
      </c>
      <c r="H185" s="20">
        <v>240</v>
      </c>
      <c r="I185" s="20">
        <v>8.648</v>
      </c>
    </row>
    <row r="186" spans="1:9" ht="12.75">
      <c r="A186" s="4">
        <v>28</v>
      </c>
      <c r="B186" s="5">
        <v>125</v>
      </c>
      <c r="C186" s="5">
        <v>5</v>
      </c>
      <c r="D186" s="5">
        <v>50</v>
      </c>
      <c r="E186" s="5">
        <v>1</v>
      </c>
      <c r="F186" s="20">
        <v>28</v>
      </c>
      <c r="G186" s="20">
        <v>115.1</v>
      </c>
      <c r="H186" s="20">
        <v>243</v>
      </c>
      <c r="I186" s="20">
        <v>9.306</v>
      </c>
    </row>
    <row r="187" spans="1:9" ht="12.75">
      <c r="A187" s="4"/>
      <c r="B187" s="10" t="s">
        <v>6</v>
      </c>
      <c r="C187" s="9"/>
      <c r="D187" s="9"/>
      <c r="E187" s="9"/>
      <c r="F187" s="28"/>
      <c r="G187" s="21">
        <f>SUM(G182:G186)/5</f>
        <v>109.24000000000001</v>
      </c>
      <c r="H187" s="21"/>
      <c r="I187" s="8">
        <f>SUM(I182:I186)/5</f>
        <v>8.0976</v>
      </c>
    </row>
    <row r="188" spans="1:9" ht="12.75">
      <c r="A188" s="4"/>
      <c r="B188" s="10" t="s">
        <v>7</v>
      </c>
      <c r="C188" s="9"/>
      <c r="D188" s="9"/>
      <c r="E188" s="9"/>
      <c r="F188" s="28"/>
      <c r="G188" s="21">
        <f>((1/4)*((G182-G187)^2+(G183-G187)^2+(G184-G187)^2+(G185-G187)^2+(G186-G187)^2))^(1/2)</f>
        <v>5.7933582661527145</v>
      </c>
      <c r="H188" s="21"/>
      <c r="I188" s="6">
        <f>((1/4)*((I182-I187)^2+(I183-I187)^2+(I184-I187)^2+(I185-I187)^2+(I186-I187)^2))^(1/2)</f>
        <v>1.291264999912876</v>
      </c>
    </row>
    <row r="189" spans="1:9" ht="12.75">
      <c r="A189" s="4"/>
      <c r="B189" s="10" t="s">
        <v>15</v>
      </c>
      <c r="C189" s="9"/>
      <c r="D189" s="9"/>
      <c r="E189" s="9"/>
      <c r="F189" s="28"/>
      <c r="G189" s="21">
        <f>((G187/101.1)-1)*100</f>
        <v>8.051434223541065</v>
      </c>
      <c r="H189" s="21"/>
      <c r="I189" s="6">
        <f>((I187/8.9994)-1)*100</f>
        <v>-10.020668044536297</v>
      </c>
    </row>
    <row r="190" spans="1:9" ht="12.75">
      <c r="A190" s="4">
        <v>4</v>
      </c>
      <c r="B190" s="5">
        <v>150</v>
      </c>
      <c r="C190" s="5">
        <v>1</v>
      </c>
      <c r="D190" s="5">
        <v>50</v>
      </c>
      <c r="E190" s="5">
        <v>1</v>
      </c>
      <c r="F190" s="20">
        <v>33</v>
      </c>
      <c r="G190" s="20">
        <v>110.4</v>
      </c>
      <c r="H190" s="20">
        <v>280</v>
      </c>
      <c r="I190" s="20">
        <v>8.246</v>
      </c>
    </row>
    <row r="191" spans="1:9" ht="12.75">
      <c r="A191" s="4">
        <v>13</v>
      </c>
      <c r="B191" s="5">
        <v>150</v>
      </c>
      <c r="C191" s="5">
        <v>2</v>
      </c>
      <c r="D191" s="5">
        <v>50</v>
      </c>
      <c r="E191" s="5">
        <v>1</v>
      </c>
      <c r="F191" s="20">
        <v>28</v>
      </c>
      <c r="G191" s="20">
        <v>105.6</v>
      </c>
      <c r="H191" s="20">
        <v>308</v>
      </c>
      <c r="I191" s="20">
        <v>8.392</v>
      </c>
    </row>
    <row r="192" spans="1:9" ht="12.75">
      <c r="A192" s="4">
        <v>19</v>
      </c>
      <c r="B192" s="5">
        <v>150</v>
      </c>
      <c r="C192" s="5">
        <v>3</v>
      </c>
      <c r="D192" s="5">
        <v>50</v>
      </c>
      <c r="E192" s="5">
        <v>1</v>
      </c>
      <c r="F192" s="20">
        <v>28</v>
      </c>
      <c r="G192" s="20">
        <v>97.6</v>
      </c>
      <c r="H192" s="20">
        <v>357</v>
      </c>
      <c r="I192" s="20">
        <v>5.666</v>
      </c>
    </row>
    <row r="193" spans="1:9" ht="12.75">
      <c r="A193" s="4">
        <v>36</v>
      </c>
      <c r="B193" s="5">
        <v>150</v>
      </c>
      <c r="C193" s="5">
        <v>4</v>
      </c>
      <c r="D193" s="5">
        <v>50</v>
      </c>
      <c r="E193" s="5">
        <v>1</v>
      </c>
      <c r="F193" s="20">
        <v>29</v>
      </c>
      <c r="G193" s="20">
        <v>113.7</v>
      </c>
      <c r="H193" s="20">
        <v>253</v>
      </c>
      <c r="I193" s="20">
        <v>9.814</v>
      </c>
    </row>
    <row r="194" spans="1:9" ht="12.75">
      <c r="A194" s="4">
        <v>38</v>
      </c>
      <c r="B194" s="5">
        <v>150</v>
      </c>
      <c r="C194" s="5">
        <v>5</v>
      </c>
      <c r="D194" s="5">
        <v>50</v>
      </c>
      <c r="E194" s="5">
        <v>1</v>
      </c>
      <c r="F194" s="20">
        <v>29</v>
      </c>
      <c r="G194" s="20">
        <v>115.4</v>
      </c>
      <c r="H194" s="20">
        <v>255</v>
      </c>
      <c r="I194" s="20">
        <v>9.819</v>
      </c>
    </row>
    <row r="195" spans="1:9" ht="12.75">
      <c r="A195" s="4"/>
      <c r="B195" s="10" t="s">
        <v>6</v>
      </c>
      <c r="C195" s="9"/>
      <c r="D195" s="9"/>
      <c r="E195" s="9"/>
      <c r="F195" s="28"/>
      <c r="G195" s="21">
        <f>SUM(G190:G194)/5</f>
        <v>108.54</v>
      </c>
      <c r="H195" s="21"/>
      <c r="I195" s="8">
        <f>SUM(I190:I194)/5</f>
        <v>8.3874</v>
      </c>
    </row>
    <row r="196" spans="1:9" ht="12.75">
      <c r="A196" s="4"/>
      <c r="B196" s="10" t="s">
        <v>7</v>
      </c>
      <c r="C196" s="9"/>
      <c r="D196" s="9"/>
      <c r="E196" s="9"/>
      <c r="F196" s="28"/>
      <c r="G196" s="21">
        <f>((1/4)*((G190-G195)^2+(G191-G195)^2+(G192-G195)^2+(G193-G195)^2+(G194-G195)^2))^(1/2)</f>
        <v>7.167147270706809</v>
      </c>
      <c r="H196" s="21"/>
      <c r="I196" s="6">
        <f>((1/4)*((I190-I195)^2+(I191-I195)^2+(I192-I195)^2+(I193-I195)^2+(I194-I195)^2))^(1/2)</f>
        <v>1.6963710678975872</v>
      </c>
    </row>
    <row r="197" spans="1:9" ht="12.75">
      <c r="A197" s="4"/>
      <c r="B197" s="10" t="s">
        <v>15</v>
      </c>
      <c r="C197" s="9"/>
      <c r="D197" s="9"/>
      <c r="E197" s="9"/>
      <c r="F197" s="28"/>
      <c r="G197" s="21">
        <f>((G195/101.98)-1)*100</f>
        <v>6.432633849774461</v>
      </c>
      <c r="H197" s="21"/>
      <c r="I197" s="6">
        <f>((I195/10.0684)-1)*100</f>
        <v>-16.695800723054322</v>
      </c>
    </row>
    <row r="198" spans="1:9" ht="12.75">
      <c r="A198" s="4">
        <v>6</v>
      </c>
      <c r="B198" s="5">
        <v>200</v>
      </c>
      <c r="C198" s="5">
        <v>1</v>
      </c>
      <c r="D198" s="5">
        <v>50</v>
      </c>
      <c r="E198" s="5">
        <v>1</v>
      </c>
      <c r="F198" s="20">
        <v>33</v>
      </c>
      <c r="G198" s="20">
        <v>113.8</v>
      </c>
      <c r="H198" s="20">
        <v>280</v>
      </c>
      <c r="I198" s="20">
        <v>10.346</v>
      </c>
    </row>
    <row r="199" spans="1:9" ht="12.75">
      <c r="A199" s="4">
        <v>14</v>
      </c>
      <c r="B199" s="5">
        <v>200</v>
      </c>
      <c r="C199" s="5">
        <v>2</v>
      </c>
      <c r="D199" s="5">
        <v>50</v>
      </c>
      <c r="E199" s="5">
        <v>1</v>
      </c>
      <c r="F199" s="20">
        <v>28</v>
      </c>
      <c r="G199" s="20">
        <v>107.3</v>
      </c>
      <c r="H199" s="20">
        <v>305</v>
      </c>
      <c r="I199" s="20">
        <v>8.389</v>
      </c>
    </row>
    <row r="200" spans="1:9" ht="12.75">
      <c r="A200" s="4">
        <v>23</v>
      </c>
      <c r="B200" s="5">
        <v>200</v>
      </c>
      <c r="C200" s="5">
        <v>3</v>
      </c>
      <c r="D200" s="5">
        <v>50</v>
      </c>
      <c r="E200" s="5">
        <v>1</v>
      </c>
      <c r="F200" s="20">
        <v>29</v>
      </c>
      <c r="G200" s="20">
        <v>113.6</v>
      </c>
      <c r="H200" s="20">
        <v>272</v>
      </c>
      <c r="I200" s="20">
        <v>7.679</v>
      </c>
    </row>
    <row r="201" spans="1:9" ht="12.75">
      <c r="A201" s="4">
        <v>32</v>
      </c>
      <c r="B201" s="5">
        <v>200</v>
      </c>
      <c r="C201" s="5">
        <v>4</v>
      </c>
      <c r="D201" s="5">
        <v>50</v>
      </c>
      <c r="E201" s="5">
        <v>1</v>
      </c>
      <c r="F201" s="20">
        <v>28</v>
      </c>
      <c r="G201" s="20">
        <v>116.9</v>
      </c>
      <c r="H201" s="20">
        <v>250</v>
      </c>
      <c r="I201" s="20">
        <v>7.3851</v>
      </c>
    </row>
    <row r="202" spans="1:9" ht="12.75">
      <c r="A202" s="4">
        <v>39</v>
      </c>
      <c r="B202" s="5">
        <v>200</v>
      </c>
      <c r="C202" s="5">
        <v>5</v>
      </c>
      <c r="D202" s="5">
        <v>50</v>
      </c>
      <c r="E202" s="5">
        <v>1</v>
      </c>
      <c r="F202" s="20">
        <v>29</v>
      </c>
      <c r="G202" s="20">
        <v>114.5</v>
      </c>
      <c r="H202" s="20">
        <v>260</v>
      </c>
      <c r="I202" s="20">
        <v>9.562</v>
      </c>
    </row>
    <row r="203" spans="1:9" ht="12.75">
      <c r="A203" s="4"/>
      <c r="B203" s="10" t="s">
        <v>6</v>
      </c>
      <c r="C203" s="9"/>
      <c r="D203" s="9"/>
      <c r="E203" s="9"/>
      <c r="F203" s="28"/>
      <c r="G203" s="21">
        <f>SUM(G198:G202)/5</f>
        <v>113.22</v>
      </c>
      <c r="H203" s="21"/>
      <c r="I203" s="8">
        <f>SUM(I198:I202)/5</f>
        <v>8.67222</v>
      </c>
    </row>
    <row r="204" spans="1:9" ht="12.75">
      <c r="A204" s="4"/>
      <c r="B204" s="10" t="s">
        <v>7</v>
      </c>
      <c r="C204" s="9"/>
      <c r="D204" s="9"/>
      <c r="E204" s="9"/>
      <c r="F204" s="28"/>
      <c r="G204" s="21">
        <f>((1/4)*((G198-G203)^2+(G199-G203)^2+(G200-G203)^2+(G201-G203)^2+(G202-G203)^2))^(1/2)</f>
        <v>3.560477496067068</v>
      </c>
      <c r="H204" s="21"/>
      <c r="I204" s="6">
        <f>((1/4)*((I198-I203)^2+(I199-I203)^2+(I200-I203)^2+(I201-I203)^2+(I202-I203)^2))^(1/2)</f>
        <v>1.2566448750542052</v>
      </c>
    </row>
    <row r="205" spans="1:9" ht="12.75">
      <c r="A205" s="4"/>
      <c r="B205" s="10" t="s">
        <v>15</v>
      </c>
      <c r="C205" s="9"/>
      <c r="D205" s="9"/>
      <c r="E205" s="9"/>
      <c r="F205" s="28"/>
      <c r="G205" s="21">
        <f>((G203/104.92)-1)*100</f>
        <v>7.910789172703003</v>
      </c>
      <c r="H205" s="21"/>
      <c r="I205" s="6">
        <f>((I203/12.1198)-1)*100</f>
        <v>-28.445848941401675</v>
      </c>
    </row>
    <row r="206" spans="1:9" ht="12.75">
      <c r="A206" s="4">
        <v>8</v>
      </c>
      <c r="B206" s="5">
        <v>300</v>
      </c>
      <c r="C206" s="5">
        <v>1</v>
      </c>
      <c r="D206" s="5">
        <v>50</v>
      </c>
      <c r="E206" s="5">
        <v>1</v>
      </c>
      <c r="F206" s="20">
        <v>33</v>
      </c>
      <c r="G206" s="20">
        <v>107</v>
      </c>
      <c r="H206" s="20">
        <v>325</v>
      </c>
      <c r="I206" s="20">
        <v>10.999</v>
      </c>
    </row>
    <row r="207" spans="1:9" ht="12.75">
      <c r="A207" s="4">
        <v>9</v>
      </c>
      <c r="B207" s="5">
        <v>300</v>
      </c>
      <c r="C207" s="5">
        <v>2</v>
      </c>
      <c r="D207" s="5">
        <v>50</v>
      </c>
      <c r="E207" s="5">
        <v>1</v>
      </c>
      <c r="F207" s="20">
        <v>33</v>
      </c>
      <c r="G207" s="20">
        <v>105.7</v>
      </c>
      <c r="H207" s="20">
        <v>330</v>
      </c>
      <c r="I207" s="20">
        <v>9.553</v>
      </c>
    </row>
    <row r="208" spans="1:9" ht="12.75">
      <c r="A208" s="4">
        <v>22</v>
      </c>
      <c r="B208" s="5">
        <v>300</v>
      </c>
      <c r="C208" s="5">
        <v>3</v>
      </c>
      <c r="D208" s="5">
        <v>50</v>
      </c>
      <c r="E208" s="5">
        <v>1</v>
      </c>
      <c r="F208" s="20">
        <v>29</v>
      </c>
      <c r="G208" s="20">
        <v>111.4</v>
      </c>
      <c r="H208" s="20">
        <v>298</v>
      </c>
      <c r="I208" s="20">
        <v>11.325</v>
      </c>
    </row>
    <row r="209" spans="1:9" ht="12.75">
      <c r="A209" s="4">
        <v>27</v>
      </c>
      <c r="B209" s="5">
        <v>300</v>
      </c>
      <c r="C209" s="5">
        <v>4</v>
      </c>
      <c r="D209" s="5">
        <v>50</v>
      </c>
      <c r="E209" s="5">
        <v>1</v>
      </c>
      <c r="F209" s="20">
        <v>27</v>
      </c>
      <c r="G209" s="20">
        <v>114.2</v>
      </c>
      <c r="H209" s="20">
        <v>275</v>
      </c>
      <c r="I209" s="20">
        <v>11.769</v>
      </c>
    </row>
    <row r="210" spans="1:9" ht="12.75">
      <c r="A210" s="4">
        <v>40</v>
      </c>
      <c r="B210" s="5">
        <v>300</v>
      </c>
      <c r="C210" s="5">
        <v>5</v>
      </c>
      <c r="D210" s="5">
        <v>50</v>
      </c>
      <c r="E210" s="5">
        <v>1</v>
      </c>
      <c r="F210" s="20">
        <v>29</v>
      </c>
      <c r="G210" s="20">
        <v>116.1</v>
      </c>
      <c r="H210" s="20">
        <v>279</v>
      </c>
      <c r="I210" s="20">
        <v>10.594</v>
      </c>
    </row>
    <row r="211" spans="1:9" ht="12.75">
      <c r="A211" s="4"/>
      <c r="B211" s="10" t="s">
        <v>6</v>
      </c>
      <c r="C211" s="9"/>
      <c r="D211" s="9"/>
      <c r="E211" s="9"/>
      <c r="F211" s="28"/>
      <c r="G211" s="21">
        <f>SUM(G206:G210)/5</f>
        <v>110.88</v>
      </c>
      <c r="H211" s="21"/>
      <c r="I211" s="8">
        <f>SUM(I206:I210)/5</f>
        <v>10.848</v>
      </c>
    </row>
    <row r="212" spans="1:9" ht="12.75">
      <c r="A212" s="4"/>
      <c r="B212" s="10" t="s">
        <v>7</v>
      </c>
      <c r="C212" s="9"/>
      <c r="D212" s="9"/>
      <c r="E212" s="9"/>
      <c r="F212" s="28"/>
      <c r="G212" s="21">
        <f>((1/4)*((G206-G211)^2+(G207-G211)^2+(G208-G211)^2+(G209-G211)^2+(G210-G211)^2))^(1/2)</f>
        <v>4.4840829608739385</v>
      </c>
      <c r="H212" s="21"/>
      <c r="I212" s="6">
        <f>((1/4)*((I206-I211)^2+(I207-I211)^2+(I208-I211)^2+(I209-I211)^2+(I210-I211)^2))^(1/2)</f>
        <v>0.8426315920970442</v>
      </c>
    </row>
    <row r="213" spans="1:9" ht="12.75">
      <c r="A213" s="4"/>
      <c r="B213" s="10" t="s">
        <v>15</v>
      </c>
      <c r="C213" s="9"/>
      <c r="D213" s="9"/>
      <c r="E213" s="9"/>
      <c r="F213" s="28"/>
      <c r="G213" s="21">
        <f>((G211/103.72)-1)*100</f>
        <v>6.903200925568842</v>
      </c>
      <c r="H213" s="21"/>
      <c r="I213" s="6">
        <f>((I211/14.771)-1)*100</f>
        <v>-26.55879764403223</v>
      </c>
    </row>
    <row r="214" spans="1:9" ht="12.75">
      <c r="A214" s="4">
        <v>7</v>
      </c>
      <c r="B214" s="5">
        <v>450</v>
      </c>
      <c r="C214" s="5">
        <v>1</v>
      </c>
      <c r="D214" s="5">
        <v>50</v>
      </c>
      <c r="E214" s="5">
        <v>1</v>
      </c>
      <c r="F214" s="20">
        <v>33</v>
      </c>
      <c r="G214" s="20">
        <v>103.2</v>
      </c>
      <c r="H214" s="20">
        <v>361</v>
      </c>
      <c r="I214" s="20">
        <v>12.964</v>
      </c>
    </row>
    <row r="215" spans="1:9" ht="12.75">
      <c r="A215" s="4">
        <v>12</v>
      </c>
      <c r="B215" s="5">
        <v>450</v>
      </c>
      <c r="C215" s="5">
        <v>2</v>
      </c>
      <c r="D215" s="5">
        <v>50</v>
      </c>
      <c r="E215" s="5">
        <v>1</v>
      </c>
      <c r="F215" s="20">
        <v>28</v>
      </c>
      <c r="G215" s="20">
        <v>105.3</v>
      </c>
      <c r="H215" s="20">
        <v>350</v>
      </c>
      <c r="I215" s="20">
        <v>10.75</v>
      </c>
    </row>
    <row r="216" spans="1:9" ht="12.75">
      <c r="A216" s="4">
        <v>17</v>
      </c>
      <c r="B216" s="5">
        <v>450</v>
      </c>
      <c r="C216" s="5">
        <v>3</v>
      </c>
      <c r="D216" s="5">
        <v>50</v>
      </c>
      <c r="E216" s="5">
        <v>1</v>
      </c>
      <c r="F216" s="20">
        <v>28</v>
      </c>
      <c r="G216" s="20">
        <v>108.1</v>
      </c>
      <c r="H216" s="20">
        <v>334</v>
      </c>
      <c r="I216" s="20">
        <v>13.195</v>
      </c>
    </row>
    <row r="217" spans="1:9" ht="12.75">
      <c r="A217" s="4">
        <v>28</v>
      </c>
      <c r="B217" s="5">
        <v>450</v>
      </c>
      <c r="C217" s="5">
        <v>4</v>
      </c>
      <c r="D217" s="5">
        <v>50</v>
      </c>
      <c r="E217" s="5">
        <v>1</v>
      </c>
      <c r="F217" s="20">
        <v>28</v>
      </c>
      <c r="G217" s="20">
        <v>104.6</v>
      </c>
      <c r="H217" s="20">
        <v>258</v>
      </c>
      <c r="I217" s="20">
        <v>11.614</v>
      </c>
    </row>
    <row r="218" spans="1:9" ht="12.75">
      <c r="A218" s="4">
        <v>33</v>
      </c>
      <c r="B218" s="5">
        <v>450</v>
      </c>
      <c r="C218" s="5">
        <v>5</v>
      </c>
      <c r="D218" s="5">
        <v>50</v>
      </c>
      <c r="E218" s="5">
        <v>1</v>
      </c>
      <c r="F218" s="20">
        <v>28</v>
      </c>
      <c r="G218" s="20">
        <v>103</v>
      </c>
      <c r="H218" s="20">
        <v>298</v>
      </c>
      <c r="I218" s="20">
        <v>10.88</v>
      </c>
    </row>
    <row r="219" spans="1:9" ht="12.75">
      <c r="A219" s="4"/>
      <c r="B219" s="3" t="s">
        <v>6</v>
      </c>
      <c r="C219" s="3"/>
      <c r="D219" s="3"/>
      <c r="E219" s="3"/>
      <c r="F219" s="28"/>
      <c r="G219" s="21">
        <f>SUM(G214:G218)/5</f>
        <v>104.84</v>
      </c>
      <c r="H219" s="21"/>
      <c r="I219" s="8">
        <f>SUM(I214:I218)/5</f>
        <v>11.8806</v>
      </c>
    </row>
    <row r="220" spans="1:9" ht="12.75">
      <c r="A220" s="4"/>
      <c r="B220" s="3" t="s">
        <v>7</v>
      </c>
      <c r="C220" s="3"/>
      <c r="D220" s="3"/>
      <c r="E220" s="3"/>
      <c r="F220" s="28"/>
      <c r="G220" s="21">
        <f>((1/4)*((G214-G219)^2+(G215-G219)^2+(G216-G219)^2+(G217-G219)^2+(G218-G219)^2))^(1/2)</f>
        <v>2.0598543637840003</v>
      </c>
      <c r="H220" s="21"/>
      <c r="I220" s="6">
        <f>((1/4)*((I214-I219)^2+(I215-I219)^2+(I216-I219)^2+(I217-I219)^2+(I218-I219)^2))^(1/2)</f>
        <v>1.1458550519153805</v>
      </c>
    </row>
    <row r="221" spans="1:9" ht="12.75">
      <c r="A221" s="4"/>
      <c r="B221" s="3" t="s">
        <v>15</v>
      </c>
      <c r="C221" s="3"/>
      <c r="D221" s="3"/>
      <c r="E221" s="3"/>
      <c r="F221" s="28"/>
      <c r="G221" s="21">
        <f>((G219/104.3)-1)*100</f>
        <v>0.5177372962607896</v>
      </c>
      <c r="H221" s="6"/>
      <c r="I221" s="6">
        <f>((I219/18.236)-1)*100</f>
        <v>-34.85084448343936</v>
      </c>
    </row>
    <row r="224" ht="15.75">
      <c r="A224" s="1" t="s">
        <v>26</v>
      </c>
    </row>
    <row r="226" spans="1:9" ht="12.75">
      <c r="A226" s="3" t="s">
        <v>0</v>
      </c>
      <c r="B226" s="3" t="s">
        <v>1</v>
      </c>
      <c r="C226" s="3" t="s">
        <v>9</v>
      </c>
      <c r="D226" s="3" t="s">
        <v>12</v>
      </c>
      <c r="E226" s="3" t="s">
        <v>13</v>
      </c>
      <c r="F226" s="3" t="s">
        <v>14</v>
      </c>
      <c r="G226" s="3" t="s">
        <v>2</v>
      </c>
      <c r="H226" s="3" t="s">
        <v>4</v>
      </c>
      <c r="I226" s="3" t="s">
        <v>5</v>
      </c>
    </row>
    <row r="227" spans="1:9" ht="12.75">
      <c r="A227" s="4">
        <v>1</v>
      </c>
      <c r="B227" s="5">
        <v>50</v>
      </c>
      <c r="C227" s="5">
        <v>1</v>
      </c>
      <c r="D227" s="5">
        <v>50</v>
      </c>
      <c r="E227" s="5">
        <v>1</v>
      </c>
      <c r="F227" s="4">
        <v>31</v>
      </c>
      <c r="G227" s="4">
        <v>114.6</v>
      </c>
      <c r="H227" s="4">
        <v>660</v>
      </c>
      <c r="I227" s="4">
        <v>5.911</v>
      </c>
    </row>
    <row r="228" spans="1:9" ht="12.75">
      <c r="A228" s="4">
        <v>2</v>
      </c>
      <c r="B228" s="5">
        <v>50</v>
      </c>
      <c r="C228" s="5">
        <v>2</v>
      </c>
      <c r="D228" s="5">
        <v>50</v>
      </c>
      <c r="E228" s="5">
        <v>1</v>
      </c>
      <c r="F228" s="4">
        <v>31</v>
      </c>
      <c r="G228" s="4">
        <v>108.7</v>
      </c>
      <c r="H228" s="4">
        <v>768</v>
      </c>
      <c r="I228" s="4">
        <v>5.457</v>
      </c>
    </row>
    <row r="229" spans="1:9" ht="12.75">
      <c r="A229" s="4">
        <v>7</v>
      </c>
      <c r="B229" s="5">
        <v>50</v>
      </c>
      <c r="C229" s="5">
        <v>3</v>
      </c>
      <c r="D229" s="5">
        <v>50</v>
      </c>
      <c r="E229" s="5">
        <v>1</v>
      </c>
      <c r="F229" s="4">
        <v>32</v>
      </c>
      <c r="G229" s="4">
        <v>99.6</v>
      </c>
      <c r="H229" s="4">
        <v>1040</v>
      </c>
      <c r="I229" s="4">
        <v>5.925</v>
      </c>
    </row>
    <row r="230" spans="1:9" ht="12.75">
      <c r="A230" s="4">
        <v>13</v>
      </c>
      <c r="B230" s="5">
        <v>50</v>
      </c>
      <c r="C230" s="5">
        <v>4</v>
      </c>
      <c r="D230" s="5">
        <v>50</v>
      </c>
      <c r="E230" s="5">
        <v>1</v>
      </c>
      <c r="F230" s="4">
        <v>36</v>
      </c>
      <c r="G230" s="4">
        <v>106.5</v>
      </c>
      <c r="H230" s="4">
        <v>860</v>
      </c>
      <c r="I230" s="4">
        <v>5.5</v>
      </c>
    </row>
    <row r="231" spans="1:9" ht="12.75">
      <c r="A231" s="4">
        <v>17</v>
      </c>
      <c r="B231" s="5">
        <v>50</v>
      </c>
      <c r="C231" s="5">
        <v>5</v>
      </c>
      <c r="D231" s="5">
        <v>50</v>
      </c>
      <c r="E231" s="5">
        <v>1</v>
      </c>
      <c r="F231" s="4">
        <v>35</v>
      </c>
      <c r="G231" s="4">
        <v>106</v>
      </c>
      <c r="H231" s="4">
        <v>890</v>
      </c>
      <c r="I231" s="4">
        <v>5.909</v>
      </c>
    </row>
    <row r="232" spans="1:9" ht="12.75">
      <c r="A232" s="4"/>
      <c r="B232" s="10" t="s">
        <v>6</v>
      </c>
      <c r="C232" s="9"/>
      <c r="D232" s="9"/>
      <c r="E232" s="9"/>
      <c r="F232" s="3"/>
      <c r="G232" s="6">
        <f>SUM(G227:G231)/5</f>
        <v>107.08</v>
      </c>
      <c r="H232" s="6"/>
      <c r="I232" s="8">
        <f>SUM(I227:I231)/5</f>
        <v>5.740399999999999</v>
      </c>
    </row>
    <row r="233" spans="1:9" ht="12.75">
      <c r="A233" s="4"/>
      <c r="B233" s="10" t="s">
        <v>7</v>
      </c>
      <c r="C233" s="9"/>
      <c r="D233" s="9"/>
      <c r="E233" s="9"/>
      <c r="F233" s="3"/>
      <c r="G233" s="6">
        <f>((1/4)*((G227-G232)^2+(G228-G232)^2+(G229-G232)^2+(G230-G232)^2+(G231-G232)^2))^(1/2)</f>
        <v>5.3997222150773645</v>
      </c>
      <c r="H233" s="6"/>
      <c r="I233" s="6">
        <f>((1/4)*((I227-I232)^2+(I228-I232)^2+(I229-I232)^2+(I230-I232)^2+(I231-I232)^2))^(1/2)</f>
        <v>0.23964306791559806</v>
      </c>
    </row>
    <row r="234" spans="1:9" ht="12.75">
      <c r="A234" s="4"/>
      <c r="B234" s="10" t="s">
        <v>16</v>
      </c>
      <c r="C234" s="9"/>
      <c r="D234" s="9"/>
      <c r="E234" s="9"/>
      <c r="F234" s="3"/>
      <c r="G234" s="6">
        <f>((G232/98.98)-1)*100</f>
        <v>8.183471408365328</v>
      </c>
      <c r="H234" s="6"/>
      <c r="I234" s="6">
        <f>((I232/5.32)-1)*100</f>
        <v>7.902255639097722</v>
      </c>
    </row>
    <row r="235" spans="1:9" ht="12.75">
      <c r="A235" s="4"/>
      <c r="B235" s="34" t="s">
        <v>17</v>
      </c>
      <c r="C235" s="9"/>
      <c r="D235" s="9"/>
      <c r="E235" s="9"/>
      <c r="F235" s="3"/>
      <c r="G235" s="6">
        <f>((G232/110.72)-1)*100</f>
        <v>-3.287572254335258</v>
      </c>
      <c r="H235" s="6"/>
      <c r="I235" s="6">
        <f>((I232/5.728)-1)*100</f>
        <v>0.21648044692736956</v>
      </c>
    </row>
    <row r="236" spans="1:9" ht="12.75">
      <c r="A236" s="24" t="s">
        <v>18</v>
      </c>
      <c r="B236" s="30">
        <v>80</v>
      </c>
      <c r="C236" s="11">
        <v>1</v>
      </c>
      <c r="D236" s="11">
        <v>50</v>
      </c>
      <c r="E236" s="11">
        <v>1</v>
      </c>
      <c r="F236" s="25">
        <v>33</v>
      </c>
      <c r="G236" s="13">
        <v>108.4</v>
      </c>
      <c r="H236" s="14">
        <v>845</v>
      </c>
      <c r="I236" s="15">
        <v>7.545</v>
      </c>
    </row>
    <row r="237" spans="1:9" ht="12.75">
      <c r="A237" s="24" t="s">
        <v>19</v>
      </c>
      <c r="B237" s="30">
        <v>80</v>
      </c>
      <c r="C237" s="11">
        <v>2</v>
      </c>
      <c r="D237" s="11">
        <v>50</v>
      </c>
      <c r="E237" s="11">
        <v>1</v>
      </c>
      <c r="F237" s="25">
        <v>33</v>
      </c>
      <c r="G237" s="13">
        <v>107.8</v>
      </c>
      <c r="H237" s="14">
        <v>895</v>
      </c>
      <c r="I237" s="15">
        <v>7.465</v>
      </c>
    </row>
    <row r="238" spans="1:9" ht="12.75">
      <c r="A238" s="24" t="s">
        <v>20</v>
      </c>
      <c r="B238" s="30">
        <v>80</v>
      </c>
      <c r="C238" s="11">
        <v>3</v>
      </c>
      <c r="D238" s="11">
        <v>50</v>
      </c>
      <c r="E238" s="11">
        <v>1</v>
      </c>
      <c r="F238" s="25">
        <v>33</v>
      </c>
      <c r="G238" s="13">
        <v>110.4</v>
      </c>
      <c r="H238" s="14">
        <v>850</v>
      </c>
      <c r="I238" s="15">
        <v>6.644</v>
      </c>
    </row>
    <row r="239" spans="1:9" ht="12.75">
      <c r="A239" s="24" t="s">
        <v>21</v>
      </c>
      <c r="B239" s="30">
        <v>80</v>
      </c>
      <c r="C239" s="11">
        <v>4</v>
      </c>
      <c r="D239" s="11">
        <v>50</v>
      </c>
      <c r="E239" s="11">
        <v>1</v>
      </c>
      <c r="F239" s="25">
        <v>33</v>
      </c>
      <c r="G239" s="13">
        <v>107.2</v>
      </c>
      <c r="H239" s="14">
        <v>850</v>
      </c>
      <c r="I239" s="15">
        <v>7.099</v>
      </c>
    </row>
    <row r="240" spans="1:9" ht="12.75">
      <c r="A240" s="24" t="s">
        <v>22</v>
      </c>
      <c r="B240" s="30">
        <v>80</v>
      </c>
      <c r="C240" s="11">
        <v>5</v>
      </c>
      <c r="D240" s="11">
        <v>50</v>
      </c>
      <c r="E240" s="11">
        <v>1</v>
      </c>
      <c r="F240" s="25">
        <v>33</v>
      </c>
      <c r="G240" s="13">
        <v>107.7</v>
      </c>
      <c r="H240" s="14">
        <v>895</v>
      </c>
      <c r="I240" s="15">
        <v>6.816</v>
      </c>
    </row>
    <row r="241" spans="1:9" ht="12.75">
      <c r="A241" s="25"/>
      <c r="B241" s="10" t="s">
        <v>6</v>
      </c>
      <c r="C241" s="11"/>
      <c r="D241" s="11"/>
      <c r="E241" s="11"/>
      <c r="F241" s="25"/>
      <c r="G241" s="6">
        <f>SUM(G236:G240)/5</f>
        <v>108.3</v>
      </c>
      <c r="H241" s="6"/>
      <c r="I241" s="6">
        <f>SUM(I236:I240)/5</f>
        <v>7.1138</v>
      </c>
    </row>
    <row r="242" spans="1:9" ht="12.75">
      <c r="A242" s="25"/>
      <c r="B242" s="10" t="s">
        <v>7</v>
      </c>
      <c r="C242" s="11"/>
      <c r="D242" s="11"/>
      <c r="E242" s="11"/>
      <c r="F242" s="25"/>
      <c r="G242" s="6">
        <f>((1/4)*((G236-G241)^2+(G237-G241)^2+(G238-G241)^2+(G239-G241)^2+(G240-G241)^2))^(1/2)</f>
        <v>1.2489995996796814</v>
      </c>
      <c r="H242" s="6"/>
      <c r="I242" s="6">
        <f>((1/4)*((I236-I241)^2+(I237-I241)^2+(I238-I241)^2+(I239-I241)^2+(I240-I241)^2))^(1/2)</f>
        <v>0.39334806469588735</v>
      </c>
    </row>
    <row r="243" spans="1:9" ht="12.75">
      <c r="A243" s="25"/>
      <c r="B243" s="10" t="s">
        <v>23</v>
      </c>
      <c r="C243" s="11"/>
      <c r="D243" s="11"/>
      <c r="E243" s="11"/>
      <c r="F243" s="25"/>
      <c r="G243" s="6">
        <f>((G241/104.26)-1)*100</f>
        <v>3.8749280644542416</v>
      </c>
      <c r="H243" s="6"/>
      <c r="I243" s="6">
        <f>((I241/7.142)-1)*100</f>
        <v>-0.39484738168580336</v>
      </c>
    </row>
    <row r="244" spans="1:9" ht="12.75">
      <c r="A244" s="25"/>
      <c r="B244" s="34" t="s">
        <v>17</v>
      </c>
      <c r="C244" s="11"/>
      <c r="D244" s="11"/>
      <c r="E244" s="11"/>
      <c r="F244" s="25"/>
      <c r="G244" s="6">
        <f>((G241/111.88)-1)*100</f>
        <v>-3.199856989631744</v>
      </c>
      <c r="H244" s="6"/>
      <c r="I244" s="6">
        <f>((I241/6.306)-1)*100</f>
        <v>12.810022201078342</v>
      </c>
    </row>
    <row r="245" spans="1:9" ht="12.75">
      <c r="A245" s="4">
        <v>3</v>
      </c>
      <c r="B245" s="5">
        <v>150</v>
      </c>
      <c r="C245" s="5">
        <v>1</v>
      </c>
      <c r="D245" s="5">
        <v>50</v>
      </c>
      <c r="E245" s="5">
        <v>1</v>
      </c>
      <c r="F245" s="4">
        <v>31</v>
      </c>
      <c r="G245" s="4">
        <v>104.8</v>
      </c>
      <c r="H245" s="4">
        <v>990</v>
      </c>
      <c r="I245" s="4">
        <v>8.241</v>
      </c>
    </row>
    <row r="246" spans="1:9" ht="12.75">
      <c r="A246" s="4">
        <v>5</v>
      </c>
      <c r="B246" s="5">
        <v>150</v>
      </c>
      <c r="C246" s="5">
        <v>2</v>
      </c>
      <c r="D246" s="5">
        <v>50</v>
      </c>
      <c r="E246" s="5">
        <v>1</v>
      </c>
      <c r="F246" s="4">
        <v>32</v>
      </c>
      <c r="G246" s="4">
        <v>102.4</v>
      </c>
      <c r="H246" s="4">
        <v>1100</v>
      </c>
      <c r="I246" s="4">
        <v>9.292</v>
      </c>
    </row>
    <row r="247" spans="1:9" ht="12.75">
      <c r="A247" s="4">
        <v>8</v>
      </c>
      <c r="B247" s="5">
        <v>150</v>
      </c>
      <c r="C247" s="5">
        <v>3</v>
      </c>
      <c r="D247" s="5">
        <v>50</v>
      </c>
      <c r="E247" s="5">
        <v>1</v>
      </c>
      <c r="F247" s="4">
        <v>37</v>
      </c>
      <c r="G247" s="4">
        <v>110.4</v>
      </c>
      <c r="H247" s="4">
        <v>910</v>
      </c>
      <c r="I247" s="4">
        <v>9.159</v>
      </c>
    </row>
    <row r="248" spans="1:9" ht="12.75">
      <c r="A248" s="4">
        <v>15</v>
      </c>
      <c r="B248" s="5">
        <v>150</v>
      </c>
      <c r="C248" s="5">
        <v>4</v>
      </c>
      <c r="D248" s="5">
        <v>50</v>
      </c>
      <c r="E248" s="5">
        <v>1</v>
      </c>
      <c r="F248" s="4">
        <v>35</v>
      </c>
      <c r="G248" s="4">
        <v>108.8</v>
      </c>
      <c r="H248" s="4">
        <v>960</v>
      </c>
      <c r="I248" s="4">
        <v>10.204</v>
      </c>
    </row>
    <row r="249" spans="1:9" ht="12.75">
      <c r="A249" s="4">
        <v>19</v>
      </c>
      <c r="B249" s="5">
        <v>150</v>
      </c>
      <c r="C249" s="5">
        <v>5</v>
      </c>
      <c r="D249" s="5">
        <v>50</v>
      </c>
      <c r="E249" s="5">
        <v>1</v>
      </c>
      <c r="F249" s="4">
        <v>35</v>
      </c>
      <c r="G249" s="4">
        <v>109.2</v>
      </c>
      <c r="H249" s="4">
        <v>955</v>
      </c>
      <c r="I249" s="4">
        <v>10.338</v>
      </c>
    </row>
    <row r="250" spans="1:9" ht="12.75">
      <c r="A250" s="4"/>
      <c r="B250" s="10" t="s">
        <v>6</v>
      </c>
      <c r="C250" s="9"/>
      <c r="D250" s="9"/>
      <c r="E250" s="9"/>
      <c r="F250" s="3"/>
      <c r="G250" s="6">
        <f>SUM(G245:G249)/5</f>
        <v>107.12</v>
      </c>
      <c r="H250" s="6"/>
      <c r="I250" s="8">
        <f>SUM(I245:I249)/5</f>
        <v>9.4468</v>
      </c>
    </row>
    <row r="251" spans="1:9" ht="12.75">
      <c r="A251" s="4"/>
      <c r="B251" s="10" t="s">
        <v>7</v>
      </c>
      <c r="C251" s="9"/>
      <c r="D251" s="9"/>
      <c r="E251" s="9"/>
      <c r="F251" s="3"/>
      <c r="G251" s="6">
        <f>((1/4)*((G245-G250)^2+(G246-G250)^2+(G247-G250)^2+(G248-G250)^2+(G249-G250)^2))^(1/2)</f>
        <v>3.3752036975566377</v>
      </c>
      <c r="H251" s="6"/>
      <c r="I251" s="6">
        <f>((1/4)*((I245-I250)^2+(I246-I250)^2+(I247-I250)^2+(I248-I250)^2+(I249-I250)^2))^(1/2)</f>
        <v>0.8556188988095109</v>
      </c>
    </row>
    <row r="252" spans="1:9" ht="12.75">
      <c r="A252" s="4"/>
      <c r="B252" s="10" t="s">
        <v>23</v>
      </c>
      <c r="C252" s="9"/>
      <c r="D252" s="9"/>
      <c r="E252" s="9"/>
      <c r="F252" s="3"/>
      <c r="G252" s="6">
        <f>((G250/101.1)-1)*100</f>
        <v>5.954500494559856</v>
      </c>
      <c r="H252" s="6"/>
      <c r="I252" s="6">
        <f>((I250/10.068)-1)*100</f>
        <v>-6.1700437028208155</v>
      </c>
    </row>
    <row r="253" spans="1:9" ht="12.75">
      <c r="A253" s="4"/>
      <c r="B253" s="3" t="s">
        <v>17</v>
      </c>
      <c r="C253" s="9"/>
      <c r="D253" s="9"/>
      <c r="E253" s="9"/>
      <c r="F253" s="3"/>
      <c r="G253" s="6">
        <f>((G250/108.54)-1)*100</f>
        <v>-1.3082734475769353</v>
      </c>
      <c r="H253" s="6"/>
      <c r="I253" s="6">
        <f>((I250/8.387)-1)*100</f>
        <v>12.636222725646817</v>
      </c>
    </row>
    <row r="254" spans="1:9" ht="12.75">
      <c r="A254" s="4">
        <v>6</v>
      </c>
      <c r="B254" s="5">
        <v>300</v>
      </c>
      <c r="C254" s="5">
        <v>1</v>
      </c>
      <c r="D254" s="5">
        <v>50</v>
      </c>
      <c r="E254" s="5">
        <v>1</v>
      </c>
      <c r="F254" s="4">
        <v>32</v>
      </c>
      <c r="G254" s="4">
        <v>107.9</v>
      </c>
      <c r="H254" s="4">
        <v>1090</v>
      </c>
      <c r="I254" s="4">
        <v>13.233</v>
      </c>
    </row>
    <row r="255" spans="1:9" ht="12.75">
      <c r="A255" s="4">
        <v>10</v>
      </c>
      <c r="B255" s="5">
        <v>300</v>
      </c>
      <c r="C255" s="5">
        <v>2</v>
      </c>
      <c r="D255" s="5">
        <v>50</v>
      </c>
      <c r="E255" s="5">
        <v>1</v>
      </c>
      <c r="F255" s="4">
        <v>36</v>
      </c>
      <c r="G255" s="4">
        <v>107</v>
      </c>
      <c r="H255" s="4">
        <v>1085</v>
      </c>
      <c r="I255" s="4">
        <v>12.581</v>
      </c>
    </row>
    <row r="256" spans="1:9" ht="12.75">
      <c r="A256" s="4">
        <v>11</v>
      </c>
      <c r="B256" s="5">
        <v>300</v>
      </c>
      <c r="C256" s="5">
        <v>3</v>
      </c>
      <c r="D256" s="5">
        <v>50</v>
      </c>
      <c r="E256" s="5">
        <v>1</v>
      </c>
      <c r="F256" s="4">
        <v>36</v>
      </c>
      <c r="G256" s="4">
        <v>97.3</v>
      </c>
      <c r="H256" s="4">
        <v>1240</v>
      </c>
      <c r="I256" s="4">
        <v>12.581</v>
      </c>
    </row>
    <row r="257" spans="1:9" ht="12.75">
      <c r="A257" s="4">
        <v>14</v>
      </c>
      <c r="B257" s="5">
        <v>300</v>
      </c>
      <c r="C257" s="5">
        <v>4</v>
      </c>
      <c r="D257" s="5">
        <v>50</v>
      </c>
      <c r="E257" s="5">
        <v>1</v>
      </c>
      <c r="F257" s="4">
        <v>36</v>
      </c>
      <c r="G257" s="4">
        <v>102.1</v>
      </c>
      <c r="H257" s="4">
        <v>1150</v>
      </c>
      <c r="I257" s="4">
        <v>10.161</v>
      </c>
    </row>
    <row r="258" spans="1:9" ht="12.75">
      <c r="A258" s="4">
        <v>18</v>
      </c>
      <c r="B258" s="5">
        <v>300</v>
      </c>
      <c r="C258" s="5">
        <v>5</v>
      </c>
      <c r="D258" s="5">
        <v>50</v>
      </c>
      <c r="E258" s="5">
        <v>1</v>
      </c>
      <c r="F258" s="4">
        <v>35</v>
      </c>
      <c r="G258" s="4">
        <v>109.7</v>
      </c>
      <c r="H258" s="4">
        <v>1050</v>
      </c>
      <c r="I258" s="4">
        <v>12.232</v>
      </c>
    </row>
    <row r="259" spans="1:9" ht="12.75">
      <c r="A259" s="4"/>
      <c r="B259" s="10" t="s">
        <v>6</v>
      </c>
      <c r="C259" s="9"/>
      <c r="D259" s="9"/>
      <c r="E259" s="9"/>
      <c r="F259" s="3"/>
      <c r="G259" s="6">
        <f>SUM(G254:G258)/5</f>
        <v>104.8</v>
      </c>
      <c r="H259" s="6"/>
      <c r="I259" s="8">
        <f>SUM(I254:I258)/5</f>
        <v>12.157599999999999</v>
      </c>
    </row>
    <row r="260" spans="1:9" ht="12.75">
      <c r="A260" s="4"/>
      <c r="B260" s="10" t="s">
        <v>7</v>
      </c>
      <c r="C260" s="9"/>
      <c r="D260" s="9"/>
      <c r="E260" s="9"/>
      <c r="F260" s="3"/>
      <c r="G260" s="6">
        <f>((1/4)*((G254-G259)^2+(G255-G259)^2+(G256-G259)^2+(G257-G259)^2+(G258-G259)^2))^(1/2)</f>
        <v>5.049752469181042</v>
      </c>
      <c r="H260" s="6"/>
      <c r="I260" s="6">
        <f>((1/4)*((I254-I259)^2+(I255-I259)^2+(I256-I259)^2+(I257-I259)^2+(I258-I259)^2))^(1/2)</f>
        <v>1.1733464109119696</v>
      </c>
    </row>
    <row r="261" spans="1:9" ht="12.75">
      <c r="A261" s="4"/>
      <c r="B261" s="10" t="s">
        <v>23</v>
      </c>
      <c r="C261" s="9"/>
      <c r="D261" s="9"/>
      <c r="E261" s="9"/>
      <c r="F261" s="3"/>
      <c r="G261" s="6">
        <f>((G259/103.72)-1)*100</f>
        <v>1.0412649440802113</v>
      </c>
      <c r="H261" s="6"/>
      <c r="I261" s="6">
        <f>((I259/14.771)-1)*100</f>
        <v>-17.69277638616209</v>
      </c>
    </row>
    <row r="262" spans="1:9" ht="12.75">
      <c r="A262" s="4"/>
      <c r="B262" s="3" t="s">
        <v>17</v>
      </c>
      <c r="C262" s="9"/>
      <c r="D262" s="9"/>
      <c r="E262" s="9"/>
      <c r="F262" s="3"/>
      <c r="G262" s="6">
        <f>((G259/110.88)-1)*100</f>
        <v>-5.483405483405479</v>
      </c>
      <c r="H262" s="6"/>
      <c r="I262" s="6">
        <f>((I259/10.848)-1)*100</f>
        <v>12.072271386430655</v>
      </c>
    </row>
    <row r="263" spans="1:9" ht="12.75">
      <c r="A263" s="4">
        <v>4</v>
      </c>
      <c r="B263" s="5">
        <v>450</v>
      </c>
      <c r="C263" s="5">
        <v>1</v>
      </c>
      <c r="D263" s="5">
        <v>50</v>
      </c>
      <c r="E263" s="5">
        <v>1</v>
      </c>
      <c r="F263" s="4">
        <v>31</v>
      </c>
      <c r="G263" s="4">
        <v>108.9</v>
      </c>
      <c r="H263" s="4">
        <v>1125</v>
      </c>
      <c r="I263" s="4">
        <v>16.206</v>
      </c>
    </row>
    <row r="264" spans="1:9" ht="12.75">
      <c r="A264" s="4">
        <v>9</v>
      </c>
      <c r="B264" s="5">
        <v>450</v>
      </c>
      <c r="C264" s="5">
        <v>2</v>
      </c>
      <c r="D264" s="5">
        <v>50</v>
      </c>
      <c r="E264" s="5">
        <v>1</v>
      </c>
      <c r="F264" s="4">
        <v>37</v>
      </c>
      <c r="G264" s="4">
        <v>108.2</v>
      </c>
      <c r="H264" s="4">
        <v>1120</v>
      </c>
      <c r="I264" s="4">
        <v>16.159</v>
      </c>
    </row>
    <row r="265" spans="1:9" ht="12.75">
      <c r="A265" s="4">
        <v>12</v>
      </c>
      <c r="B265" s="5">
        <v>450</v>
      </c>
      <c r="C265" s="5">
        <v>3</v>
      </c>
      <c r="D265" s="5">
        <v>50</v>
      </c>
      <c r="E265" s="5">
        <v>1</v>
      </c>
      <c r="F265" s="4">
        <v>36</v>
      </c>
      <c r="G265" s="4">
        <v>104</v>
      </c>
      <c r="H265" s="4">
        <v>1195</v>
      </c>
      <c r="I265" s="4">
        <v>15.708</v>
      </c>
    </row>
    <row r="266" spans="1:9" ht="12.75">
      <c r="A266" s="4">
        <v>16</v>
      </c>
      <c r="B266" s="5">
        <v>450</v>
      </c>
      <c r="C266" s="5">
        <v>4</v>
      </c>
      <c r="D266" s="5">
        <v>50</v>
      </c>
      <c r="E266" s="5">
        <v>1</v>
      </c>
      <c r="F266" s="4">
        <v>35</v>
      </c>
      <c r="G266" s="4">
        <v>98.1</v>
      </c>
      <c r="H266" s="4">
        <v>1300</v>
      </c>
      <c r="I266" s="4">
        <v>14.707</v>
      </c>
    </row>
    <row r="267" spans="1:9" ht="12.75">
      <c r="A267" s="4">
        <v>20</v>
      </c>
      <c r="B267" s="5">
        <v>450</v>
      </c>
      <c r="C267" s="5">
        <v>5</v>
      </c>
      <c r="D267" s="5">
        <v>50</v>
      </c>
      <c r="E267" s="5">
        <v>1</v>
      </c>
      <c r="F267" s="4">
        <v>35</v>
      </c>
      <c r="G267" s="4">
        <v>103.7</v>
      </c>
      <c r="H267" s="4">
        <v>1150</v>
      </c>
      <c r="I267" s="4">
        <v>15.903</v>
      </c>
    </row>
    <row r="268" spans="1:9" ht="12.75">
      <c r="A268" s="4"/>
      <c r="B268" s="10" t="s">
        <v>6</v>
      </c>
      <c r="C268" s="3"/>
      <c r="D268" s="3"/>
      <c r="E268" s="3"/>
      <c r="F268" s="3"/>
      <c r="G268" s="6">
        <f>SUM(G263:G267)/5</f>
        <v>104.58000000000001</v>
      </c>
      <c r="H268" s="6"/>
      <c r="I268" s="8">
        <f>SUM(I263:I267)/5</f>
        <v>15.7366</v>
      </c>
    </row>
    <row r="269" spans="1:9" ht="12.75">
      <c r="A269" s="4"/>
      <c r="B269" s="10" t="s">
        <v>7</v>
      </c>
      <c r="C269" s="3"/>
      <c r="D269" s="3"/>
      <c r="E269" s="3"/>
      <c r="F269" s="3"/>
      <c r="G269" s="6">
        <f>((1/4)*((G263-G268)^2+(G264-G268)^2+(G265-G268)^2+(G266-G268)^2+(G267-G268)^2))^(1/2)</f>
        <v>4.326314829043309</v>
      </c>
      <c r="H269" s="6"/>
      <c r="I269" s="6">
        <f>((1/4)*((I263-I268)^2+(I264-I268)^2+(I265-I268)^2+(I266-I268)^2+(I267-I268)^2))^(1/2)</f>
        <v>0.6097829941872759</v>
      </c>
    </row>
    <row r="270" spans="1:9" ht="12.75">
      <c r="A270" s="4"/>
      <c r="B270" s="10" t="s">
        <v>23</v>
      </c>
      <c r="C270" s="3"/>
      <c r="D270" s="3"/>
      <c r="E270" s="3"/>
      <c r="F270" s="3"/>
      <c r="G270" s="6">
        <f>((G268/104.3)-1)*100</f>
        <v>0.26845637583894355</v>
      </c>
      <c r="H270" s="6"/>
      <c r="I270" s="6">
        <f>((I268/18.236)-1)*100</f>
        <v>-13.705856547488493</v>
      </c>
    </row>
    <row r="271" spans="1:9" ht="12.75">
      <c r="A271" s="4"/>
      <c r="B271" s="3" t="s">
        <v>17</v>
      </c>
      <c r="C271" s="3"/>
      <c r="D271" s="3"/>
      <c r="E271" s="3"/>
      <c r="F271" s="3"/>
      <c r="G271" s="6">
        <f>((G268/104.84)-1)*100</f>
        <v>-0.24799694772986713</v>
      </c>
      <c r="H271" s="6"/>
      <c r="I271" s="6">
        <f>((I268/11.881)-1)*100</f>
        <v>32.45181382038549</v>
      </c>
    </row>
    <row r="273" spans="1:9" ht="12.75">
      <c r="A273" s="4">
        <v>1</v>
      </c>
      <c r="B273" s="11">
        <v>20</v>
      </c>
      <c r="C273" s="5">
        <v>1</v>
      </c>
      <c r="D273" s="5">
        <v>20</v>
      </c>
      <c r="E273" s="5">
        <v>1</v>
      </c>
      <c r="F273" s="4">
        <v>33</v>
      </c>
      <c r="G273" s="4">
        <v>107.2</v>
      </c>
      <c r="H273" s="4">
        <v>740</v>
      </c>
      <c r="I273" s="4">
        <v>3.276</v>
      </c>
    </row>
    <row r="274" spans="1:9" ht="12.75">
      <c r="A274" s="4">
        <v>7</v>
      </c>
      <c r="B274" s="11">
        <v>20</v>
      </c>
      <c r="C274" s="5">
        <v>2</v>
      </c>
      <c r="D274" s="5">
        <v>20</v>
      </c>
      <c r="E274" s="5">
        <v>1</v>
      </c>
      <c r="F274" s="4">
        <v>36</v>
      </c>
      <c r="G274" s="4">
        <v>101.8</v>
      </c>
      <c r="H274" s="4">
        <v>810</v>
      </c>
      <c r="I274" s="4">
        <v>3.533</v>
      </c>
    </row>
    <row r="275" spans="1:9" ht="12.75">
      <c r="A275" s="4">
        <v>14</v>
      </c>
      <c r="B275" s="11">
        <v>20</v>
      </c>
      <c r="C275" s="5">
        <v>3</v>
      </c>
      <c r="D275" s="5">
        <v>20</v>
      </c>
      <c r="E275" s="5">
        <v>1</v>
      </c>
      <c r="F275" s="4">
        <v>35</v>
      </c>
      <c r="G275" s="4">
        <v>103.7</v>
      </c>
      <c r="H275" s="4">
        <v>800</v>
      </c>
      <c r="I275" s="4">
        <v>3.7</v>
      </c>
    </row>
    <row r="276" spans="1:9" ht="12.75">
      <c r="A276" s="4">
        <v>18</v>
      </c>
      <c r="B276" s="11">
        <v>20</v>
      </c>
      <c r="C276" s="5">
        <v>4</v>
      </c>
      <c r="D276" s="5">
        <v>20</v>
      </c>
      <c r="E276" s="5">
        <v>1</v>
      </c>
      <c r="F276" s="4">
        <v>31</v>
      </c>
      <c r="G276" s="4">
        <v>102.7</v>
      </c>
      <c r="H276" s="4">
        <v>830</v>
      </c>
      <c r="I276" s="4">
        <v>3.532</v>
      </c>
    </row>
    <row r="277" spans="1:9" ht="12.75">
      <c r="A277" s="4">
        <v>23</v>
      </c>
      <c r="B277" s="11">
        <v>20</v>
      </c>
      <c r="C277" s="5">
        <v>5</v>
      </c>
      <c r="D277" s="5">
        <v>20</v>
      </c>
      <c r="E277" s="5">
        <v>1</v>
      </c>
      <c r="F277" s="4">
        <v>31</v>
      </c>
      <c r="G277" s="4">
        <v>105.2</v>
      </c>
      <c r="H277" s="4">
        <v>860</v>
      </c>
      <c r="I277" s="4">
        <v>3.28</v>
      </c>
    </row>
    <row r="278" spans="1:9" ht="12.75">
      <c r="A278" s="4"/>
      <c r="B278" s="10" t="s">
        <v>6</v>
      </c>
      <c r="C278" s="5"/>
      <c r="D278" s="5"/>
      <c r="E278" s="5"/>
      <c r="F278" s="4"/>
      <c r="G278" s="6">
        <f>SUM(G273:G277)/5</f>
        <v>104.12</v>
      </c>
      <c r="H278" s="6"/>
      <c r="I278" s="6">
        <f>SUM(I273:I277)/5</f>
        <v>3.4642000000000004</v>
      </c>
    </row>
    <row r="279" spans="1:9" ht="12.75">
      <c r="A279" s="4"/>
      <c r="B279" s="10" t="s">
        <v>7</v>
      </c>
      <c r="C279" s="5"/>
      <c r="D279" s="5"/>
      <c r="E279" s="5"/>
      <c r="F279" s="4"/>
      <c r="G279" s="6">
        <f>((1/4)*((G273-G278)^2+(G274-G278)^2+(G275-G278)^2+(G276-G278)^2+(G277-G278)^2))^(1/2)</f>
        <v>2.1347130954767684</v>
      </c>
      <c r="H279" s="6"/>
      <c r="I279" s="6">
        <f>((1/4)*((I273-I278)^2+(I274-I278)^2+(I275-I278)^2+(I276-I278)^2+(I277-I278)^2))^(1/2)</f>
        <v>0.18322172360285244</v>
      </c>
    </row>
    <row r="280" spans="1:9" ht="12.75">
      <c r="A280" s="4"/>
      <c r="B280" s="10" t="s">
        <v>23</v>
      </c>
      <c r="C280" s="5"/>
      <c r="D280" s="5"/>
      <c r="E280" s="5"/>
      <c r="F280" s="4"/>
      <c r="G280" s="6">
        <f>((G278/100.76)-1)*100</f>
        <v>3.3346566097657737</v>
      </c>
      <c r="H280" s="6"/>
      <c r="I280" s="6">
        <f>((I278/2.633)-1)*100</f>
        <v>31.568552981390074</v>
      </c>
    </row>
    <row r="281" spans="1:9" ht="12.75">
      <c r="A281" s="4"/>
      <c r="B281" s="3" t="s">
        <v>17</v>
      </c>
      <c r="C281" s="5"/>
      <c r="D281" s="5"/>
      <c r="E281" s="5"/>
      <c r="F281" s="4"/>
      <c r="G281" s="6">
        <f>((G278/103.7)-1)*100</f>
        <v>0.4050144648023224</v>
      </c>
      <c r="H281" s="6"/>
      <c r="I281" s="6">
        <f>((I278/3.381)-1)*100</f>
        <v>2.460810411120984</v>
      </c>
    </row>
    <row r="282" spans="1:9" ht="12.75">
      <c r="A282" s="4">
        <v>3</v>
      </c>
      <c r="B282" s="5">
        <v>50</v>
      </c>
      <c r="C282" s="5">
        <v>1</v>
      </c>
      <c r="D282" s="5">
        <v>20</v>
      </c>
      <c r="E282" s="5">
        <v>1</v>
      </c>
      <c r="F282" s="4">
        <v>32</v>
      </c>
      <c r="G282" s="4">
        <v>107.4</v>
      </c>
      <c r="H282" s="4">
        <v>810</v>
      </c>
      <c r="I282" s="4">
        <v>4.867</v>
      </c>
    </row>
    <row r="283" spans="1:9" ht="12.75">
      <c r="A283" s="4">
        <v>10</v>
      </c>
      <c r="B283" s="5">
        <v>50</v>
      </c>
      <c r="C283" s="5">
        <v>2</v>
      </c>
      <c r="D283" s="5">
        <v>20</v>
      </c>
      <c r="E283" s="5">
        <v>1</v>
      </c>
      <c r="F283" s="4">
        <v>36</v>
      </c>
      <c r="G283" s="4">
        <v>101.6</v>
      </c>
      <c r="H283" s="4">
        <v>950</v>
      </c>
      <c r="I283" s="4">
        <v>5.684</v>
      </c>
    </row>
    <row r="284" spans="1:9" ht="12.75">
      <c r="A284" s="4">
        <v>11</v>
      </c>
      <c r="B284" s="5">
        <v>50</v>
      </c>
      <c r="C284" s="5">
        <v>3</v>
      </c>
      <c r="D284" s="5">
        <v>20</v>
      </c>
      <c r="E284" s="5">
        <v>1</v>
      </c>
      <c r="F284" s="4">
        <v>35</v>
      </c>
      <c r="G284" s="4">
        <v>102.1</v>
      </c>
      <c r="H284" s="4">
        <v>970</v>
      </c>
      <c r="I284" s="4">
        <v>5.857</v>
      </c>
    </row>
    <row r="285" spans="1:9" ht="12.75">
      <c r="A285" s="4">
        <v>19</v>
      </c>
      <c r="B285" s="5">
        <v>50</v>
      </c>
      <c r="C285" s="5">
        <v>4</v>
      </c>
      <c r="D285" s="5">
        <v>20</v>
      </c>
      <c r="E285" s="5">
        <v>1</v>
      </c>
      <c r="F285" s="4">
        <v>31</v>
      </c>
      <c r="G285" s="4">
        <v>105.5</v>
      </c>
      <c r="H285" s="4">
        <v>910</v>
      </c>
      <c r="I285" s="4">
        <v>6.166</v>
      </c>
    </row>
    <row r="286" spans="1:9" ht="12.75">
      <c r="A286" s="4">
        <v>24</v>
      </c>
      <c r="B286" s="5">
        <v>50</v>
      </c>
      <c r="C286" s="5">
        <v>5</v>
      </c>
      <c r="D286" s="5">
        <v>20</v>
      </c>
      <c r="E286" s="5">
        <v>1</v>
      </c>
      <c r="F286" s="4">
        <v>31</v>
      </c>
      <c r="G286" s="4">
        <v>105</v>
      </c>
      <c r="H286" s="4">
        <v>900</v>
      </c>
      <c r="I286" s="4">
        <v>6.099</v>
      </c>
    </row>
    <row r="287" spans="1:9" ht="12.75">
      <c r="A287" s="4"/>
      <c r="B287" s="10" t="s">
        <v>6</v>
      </c>
      <c r="C287" s="5"/>
      <c r="D287" s="5"/>
      <c r="E287" s="5"/>
      <c r="F287" s="4"/>
      <c r="G287" s="6">
        <f>SUM(G282:G286)/5</f>
        <v>104.32000000000001</v>
      </c>
      <c r="H287" s="6"/>
      <c r="I287" s="6">
        <f>SUM(I282:I286)/5</f>
        <v>5.7346</v>
      </c>
    </row>
    <row r="288" spans="1:9" ht="12.75">
      <c r="A288" s="4"/>
      <c r="B288" s="10" t="s">
        <v>7</v>
      </c>
      <c r="C288" s="5"/>
      <c r="D288" s="5"/>
      <c r="E288" s="5"/>
      <c r="F288" s="4"/>
      <c r="G288" s="6">
        <f>((1/4)*((G282-G287)^2+(G283-G287)^2+(G284-G287)^2+(G285-G287)^2+(G286-G287)^2))^(1/2)</f>
        <v>2.432488437793697</v>
      </c>
      <c r="H288" s="6"/>
      <c r="I288" s="6">
        <f>((1/4)*((I282-I287)^2+(I283-I287)^2+(I284-I287)^2+(I285-I287)^2+(I286-I287)^2))^(1/2)</f>
        <v>0.521815388811024</v>
      </c>
    </row>
    <row r="289" spans="1:9" ht="12.75">
      <c r="A289" s="4"/>
      <c r="B289" s="10" t="s">
        <v>23</v>
      </c>
      <c r="C289" s="5"/>
      <c r="D289" s="5"/>
      <c r="E289" s="5"/>
      <c r="F289" s="4"/>
      <c r="G289" s="6">
        <f>((G287/98.98)-1)*100</f>
        <v>5.395029298848253</v>
      </c>
      <c r="H289" s="6"/>
      <c r="I289" s="6">
        <f>((I287/5.32)-1)*100</f>
        <v>7.793233082706763</v>
      </c>
    </row>
    <row r="290" spans="1:9" ht="12.75">
      <c r="A290" s="4"/>
      <c r="B290" s="3" t="s">
        <v>17</v>
      </c>
      <c r="C290" s="5"/>
      <c r="D290" s="5"/>
      <c r="E290" s="5"/>
      <c r="F290" s="4"/>
      <c r="G290" s="6">
        <f>((G287/106.02)-1)*100</f>
        <v>-1.6034710431993893</v>
      </c>
      <c r="H290" s="6"/>
      <c r="I290" s="6">
        <f>((I287/5.385)-1)*100</f>
        <v>6.492107706592387</v>
      </c>
    </row>
    <row r="291" spans="1:9" ht="12.75">
      <c r="A291" s="4">
        <v>2</v>
      </c>
      <c r="B291" s="5">
        <v>80</v>
      </c>
      <c r="C291" s="5">
        <v>1</v>
      </c>
      <c r="D291" s="5">
        <v>20</v>
      </c>
      <c r="E291" s="5">
        <v>1</v>
      </c>
      <c r="F291" s="4">
        <v>32</v>
      </c>
      <c r="G291" s="4">
        <v>106.5</v>
      </c>
      <c r="H291" s="4">
        <v>890</v>
      </c>
      <c r="I291" s="4">
        <v>7.335</v>
      </c>
    </row>
    <row r="292" spans="1:9" ht="12.75">
      <c r="A292" s="4">
        <v>9</v>
      </c>
      <c r="B292" s="5">
        <v>80</v>
      </c>
      <c r="C292" s="5">
        <v>2</v>
      </c>
      <c r="D292" s="5">
        <v>20</v>
      </c>
      <c r="E292" s="5">
        <v>1</v>
      </c>
      <c r="F292" s="4">
        <v>36</v>
      </c>
      <c r="G292" s="4">
        <v>102.5</v>
      </c>
      <c r="H292" s="4">
        <v>1010</v>
      </c>
      <c r="I292" s="4">
        <v>7.393</v>
      </c>
    </row>
    <row r="293" spans="1:9" ht="12.75">
      <c r="A293" s="4">
        <v>13</v>
      </c>
      <c r="B293" s="5">
        <v>80</v>
      </c>
      <c r="C293" s="5">
        <v>3</v>
      </c>
      <c r="D293" s="5">
        <v>20</v>
      </c>
      <c r="E293" s="5">
        <v>1</v>
      </c>
      <c r="F293" s="4">
        <v>35</v>
      </c>
      <c r="G293" s="4">
        <v>106.8</v>
      </c>
      <c r="H293" s="4">
        <v>910</v>
      </c>
      <c r="I293" s="4">
        <v>7.588</v>
      </c>
    </row>
    <row r="294" spans="1:9" ht="12.75">
      <c r="A294" s="4">
        <v>20</v>
      </c>
      <c r="B294" s="5">
        <v>80</v>
      </c>
      <c r="C294" s="5">
        <v>4</v>
      </c>
      <c r="D294" s="5">
        <v>20</v>
      </c>
      <c r="E294" s="5">
        <v>1</v>
      </c>
      <c r="F294" s="4">
        <v>31</v>
      </c>
      <c r="G294" s="4">
        <v>100.8</v>
      </c>
      <c r="H294" s="4">
        <v>1040</v>
      </c>
      <c r="I294" s="4">
        <v>7.463</v>
      </c>
    </row>
    <row r="295" spans="1:9" ht="12.75">
      <c r="A295" s="4">
        <v>21</v>
      </c>
      <c r="B295" s="5">
        <v>80</v>
      </c>
      <c r="C295" s="5">
        <v>5</v>
      </c>
      <c r="D295" s="5">
        <v>20</v>
      </c>
      <c r="E295" s="5">
        <v>1</v>
      </c>
      <c r="F295" s="4">
        <v>31</v>
      </c>
      <c r="G295" s="4">
        <v>108</v>
      </c>
      <c r="H295" s="4">
        <v>900</v>
      </c>
      <c r="I295" s="4">
        <v>7.59</v>
      </c>
    </row>
    <row r="296" spans="1:9" ht="12.75">
      <c r="A296" s="4"/>
      <c r="B296" s="10" t="s">
        <v>6</v>
      </c>
      <c r="C296" s="5"/>
      <c r="D296" s="5"/>
      <c r="E296" s="5"/>
      <c r="F296" s="4"/>
      <c r="G296" s="6">
        <f>SUM(G291:G295)/5</f>
        <v>104.92</v>
      </c>
      <c r="H296" s="6"/>
      <c r="I296" s="6">
        <f>SUM(I291:I295)/5</f>
        <v>7.4738</v>
      </c>
    </row>
    <row r="297" spans="1:9" ht="12.75">
      <c r="A297" s="4"/>
      <c r="B297" s="10" t="s">
        <v>7</v>
      </c>
      <c r="C297" s="5"/>
      <c r="D297" s="5"/>
      <c r="E297" s="5"/>
      <c r="F297" s="4"/>
      <c r="G297" s="6">
        <f>((1/4)*((G291-G296)^2+(G292-G296)^2+(G293-G296)^2+(G294-G296)^2+(G295-G296)^2))^(1/2)</f>
        <v>3.096288100290411</v>
      </c>
      <c r="H297" s="6"/>
      <c r="I297" s="6">
        <f>((1/4)*((I291-I296)^2+(I292-I296)^2+(I293-I296)^2+(I294-I296)^2+(I295-I296)^2))^(1/2)</f>
        <v>0.11451506451118126</v>
      </c>
    </row>
    <row r="298" spans="1:9" ht="12.75">
      <c r="A298" s="4"/>
      <c r="B298" s="10" t="s">
        <v>23</v>
      </c>
      <c r="C298" s="5"/>
      <c r="D298" s="5"/>
      <c r="E298" s="5"/>
      <c r="F298" s="4"/>
      <c r="G298" s="6">
        <f>((G296/104.26)-1)*100</f>
        <v>0.6330328026088683</v>
      </c>
      <c r="H298" s="6"/>
      <c r="I298" s="6">
        <f>((I296/7.142)-1)*100</f>
        <v>4.645757490898905</v>
      </c>
    </row>
    <row r="299" spans="1:9" ht="12.75">
      <c r="A299" s="4"/>
      <c r="B299" s="3" t="s">
        <v>17</v>
      </c>
      <c r="C299" s="5"/>
      <c r="D299" s="5"/>
      <c r="E299" s="5"/>
      <c r="F299" s="4"/>
      <c r="G299" s="6">
        <f>((G296/105.2)-1)*100</f>
        <v>-0.26615969581749166</v>
      </c>
      <c r="H299" s="6"/>
      <c r="I299" s="6">
        <f>((I296/6.773)-1)*100</f>
        <v>10.346965893990845</v>
      </c>
    </row>
    <row r="300" spans="1:9" ht="12.75">
      <c r="A300" s="4">
        <v>4</v>
      </c>
      <c r="B300" s="5">
        <v>150</v>
      </c>
      <c r="C300" s="5">
        <v>1</v>
      </c>
      <c r="D300" s="5">
        <v>20</v>
      </c>
      <c r="E300" s="5">
        <v>1</v>
      </c>
      <c r="F300" s="4">
        <v>32</v>
      </c>
      <c r="G300" s="4">
        <v>107.5</v>
      </c>
      <c r="H300" s="4">
        <v>940</v>
      </c>
      <c r="I300" s="4">
        <v>9.419</v>
      </c>
    </row>
    <row r="301" spans="1:9" ht="12.75">
      <c r="A301" s="4">
        <v>8</v>
      </c>
      <c r="B301" s="5">
        <v>150</v>
      </c>
      <c r="C301" s="5">
        <v>2</v>
      </c>
      <c r="D301" s="5">
        <v>20</v>
      </c>
      <c r="E301" s="5">
        <v>1</v>
      </c>
      <c r="F301" s="4">
        <v>36</v>
      </c>
      <c r="G301" s="4">
        <v>105.9</v>
      </c>
      <c r="H301" s="4">
        <v>1010</v>
      </c>
      <c r="I301" s="4">
        <v>10.207</v>
      </c>
    </row>
    <row r="302" spans="1:9" ht="12.75">
      <c r="A302" s="4">
        <v>12</v>
      </c>
      <c r="B302" s="5">
        <v>150</v>
      </c>
      <c r="C302" s="5">
        <v>3</v>
      </c>
      <c r="D302" s="5">
        <v>20</v>
      </c>
      <c r="E302" s="5">
        <v>1</v>
      </c>
      <c r="F302" s="4">
        <v>35</v>
      </c>
      <c r="G302" s="4">
        <v>102.8</v>
      </c>
      <c r="H302" s="4">
        <v>1060</v>
      </c>
      <c r="I302" s="4">
        <v>10.337</v>
      </c>
    </row>
    <row r="303" spans="1:9" ht="12.75">
      <c r="A303" s="4">
        <v>17</v>
      </c>
      <c r="B303" s="5">
        <v>150</v>
      </c>
      <c r="C303" s="5">
        <v>4</v>
      </c>
      <c r="D303" s="5">
        <v>20</v>
      </c>
      <c r="E303" s="5">
        <v>1</v>
      </c>
      <c r="F303" s="4">
        <v>31</v>
      </c>
      <c r="G303" s="4">
        <v>103.2</v>
      </c>
      <c r="H303" s="4">
        <v>1050</v>
      </c>
      <c r="I303" s="4">
        <v>10.206</v>
      </c>
    </row>
    <row r="304" spans="1:9" ht="12.75">
      <c r="A304" s="4">
        <v>22</v>
      </c>
      <c r="B304" s="5">
        <v>150</v>
      </c>
      <c r="C304" s="5">
        <v>5</v>
      </c>
      <c r="D304" s="5">
        <v>20</v>
      </c>
      <c r="E304" s="5">
        <v>1</v>
      </c>
      <c r="F304" s="4">
        <v>31</v>
      </c>
      <c r="G304" s="4">
        <v>103.2</v>
      </c>
      <c r="H304" s="4">
        <v>1050</v>
      </c>
      <c r="I304" s="4">
        <v>9.422</v>
      </c>
    </row>
    <row r="305" spans="1:9" ht="12.75">
      <c r="A305" s="4"/>
      <c r="B305" s="10" t="s">
        <v>6</v>
      </c>
      <c r="C305" s="5"/>
      <c r="D305" s="5"/>
      <c r="E305" s="5"/>
      <c r="F305" s="4"/>
      <c r="G305" s="6">
        <f>SUM(G300:G304)/5</f>
        <v>104.52000000000001</v>
      </c>
      <c r="H305" s="6"/>
      <c r="I305" s="6">
        <f>SUM(I300:I304)/5</f>
        <v>9.918199999999999</v>
      </c>
    </row>
    <row r="306" spans="1:9" ht="12.75">
      <c r="A306" s="4"/>
      <c r="B306" s="10" t="s">
        <v>7</v>
      </c>
      <c r="C306" s="5"/>
      <c r="D306" s="5"/>
      <c r="E306" s="5"/>
      <c r="F306" s="4"/>
      <c r="G306" s="6">
        <f>((1/4)*((G300-G305)^2+(G300-G305)^2+(G300-G305)^2+(G300-G305)^2+(G300-G305)^2))^(1/2)</f>
        <v>3.331741286474675</v>
      </c>
      <c r="H306" s="6"/>
      <c r="I306" s="6">
        <f>((1/4)*((I300-I305)^2+(I300-I305)^2+(I300-I305)^2+(I300-I305)^2+(I300-I305)^2))^(1/2)</f>
        <v>0.5581225671839456</v>
      </c>
    </row>
    <row r="307" spans="1:9" ht="12.75">
      <c r="A307" s="4"/>
      <c r="B307" s="10" t="s">
        <v>23</v>
      </c>
      <c r="C307" s="5"/>
      <c r="D307" s="5"/>
      <c r="E307" s="5"/>
      <c r="F307" s="4"/>
      <c r="G307" s="6">
        <f>((G305/101.98)-1)*100</f>
        <v>2.4906844479309687</v>
      </c>
      <c r="H307" s="6"/>
      <c r="I307" s="6">
        <f>((I305/10.068)-1)*100</f>
        <v>-1.4878823996821722</v>
      </c>
    </row>
    <row r="308" spans="1:9" ht="12.75">
      <c r="A308" s="4"/>
      <c r="B308" s="3" t="s">
        <v>17</v>
      </c>
      <c r="C308" s="5"/>
      <c r="D308" s="5"/>
      <c r="E308" s="5"/>
      <c r="F308" s="4"/>
      <c r="G308" s="6">
        <f>((G305/113.22)-1)*100</f>
        <v>-7.684154742978267</v>
      </c>
      <c r="H308" s="6"/>
      <c r="I308" s="6">
        <f>((I305/8.89)-1)*100</f>
        <v>11.565804274465673</v>
      </c>
    </row>
    <row r="309" spans="1:9" ht="12.75">
      <c r="A309" s="4">
        <v>5</v>
      </c>
      <c r="B309" s="5">
        <v>300</v>
      </c>
      <c r="C309" s="5">
        <v>1</v>
      </c>
      <c r="D309" s="5">
        <v>20</v>
      </c>
      <c r="E309" s="5">
        <v>1</v>
      </c>
      <c r="F309" s="4">
        <v>35.5</v>
      </c>
      <c r="G309" s="4">
        <v>101.5</v>
      </c>
      <c r="H309" s="4">
        <v>1140</v>
      </c>
      <c r="I309" s="4">
        <v>14.313</v>
      </c>
    </row>
    <row r="310" spans="1:9" ht="12.75">
      <c r="A310" s="4">
        <v>6</v>
      </c>
      <c r="B310" s="5">
        <v>300</v>
      </c>
      <c r="C310" s="5">
        <v>2</v>
      </c>
      <c r="D310" s="5">
        <v>20</v>
      </c>
      <c r="E310" s="5">
        <v>1</v>
      </c>
      <c r="F310" s="4">
        <v>35.5</v>
      </c>
      <c r="G310" s="4">
        <v>99.4</v>
      </c>
      <c r="H310" s="4">
        <v>1210</v>
      </c>
      <c r="I310" s="4">
        <v>14.679</v>
      </c>
    </row>
    <row r="311" spans="1:9" ht="12.75">
      <c r="A311" s="4">
        <v>15</v>
      </c>
      <c r="B311" s="5">
        <v>300</v>
      </c>
      <c r="C311" s="5">
        <v>3</v>
      </c>
      <c r="D311" s="5">
        <v>20</v>
      </c>
      <c r="E311" s="5">
        <v>1</v>
      </c>
      <c r="F311" s="4">
        <v>31</v>
      </c>
      <c r="G311" s="4">
        <v>102.6</v>
      </c>
      <c r="H311" s="4">
        <v>1085</v>
      </c>
      <c r="I311" s="4">
        <v>14.554</v>
      </c>
    </row>
    <row r="312" spans="1:9" ht="12.75">
      <c r="A312" s="4">
        <v>16</v>
      </c>
      <c r="B312" s="5">
        <v>300</v>
      </c>
      <c r="C312" s="5">
        <v>4</v>
      </c>
      <c r="D312" s="5">
        <v>20</v>
      </c>
      <c r="E312" s="5">
        <v>1</v>
      </c>
      <c r="F312" s="4">
        <v>31</v>
      </c>
      <c r="G312" s="4">
        <v>104.7</v>
      </c>
      <c r="H312" s="4">
        <v>1100</v>
      </c>
      <c r="I312" s="4">
        <v>14.06</v>
      </c>
    </row>
    <row r="313" spans="1:9" ht="12.75">
      <c r="A313" s="4">
        <v>25</v>
      </c>
      <c r="B313" s="5">
        <v>300</v>
      </c>
      <c r="C313" s="5">
        <v>5</v>
      </c>
      <c r="D313" s="5">
        <v>20</v>
      </c>
      <c r="E313" s="5">
        <v>1</v>
      </c>
      <c r="F313" s="4">
        <v>31</v>
      </c>
      <c r="G313" s="4">
        <v>102</v>
      </c>
      <c r="H313" s="4">
        <v>1180</v>
      </c>
      <c r="I313" s="4">
        <v>14.179</v>
      </c>
    </row>
    <row r="314" spans="1:9" ht="12.75">
      <c r="A314" s="4"/>
      <c r="B314" s="10" t="s">
        <v>6</v>
      </c>
      <c r="C314" s="5"/>
      <c r="D314" s="5"/>
      <c r="E314" s="5"/>
      <c r="F314" s="4"/>
      <c r="G314" s="6">
        <f>SUM(G309:G313)/5</f>
        <v>102.03999999999999</v>
      </c>
      <c r="H314" s="6"/>
      <c r="I314" s="6">
        <f>SUM(I309:I313)/5</f>
        <v>14.357</v>
      </c>
    </row>
    <row r="315" spans="1:9" ht="12.75">
      <c r="A315" s="4"/>
      <c r="B315" s="10" t="s">
        <v>7</v>
      </c>
      <c r="C315" s="5"/>
      <c r="D315" s="5"/>
      <c r="E315" s="5"/>
      <c r="F315" s="4"/>
      <c r="G315" s="6">
        <f>((1/4)*((G309-G314)^2+(G310-G314)^2+(G311-G314)^2+(G312-G314)^2+(G313-G314)^2))^(1/2)</f>
        <v>1.9138965489283883</v>
      </c>
      <c r="H315" s="6"/>
      <c r="I315" s="6">
        <f>((1/4)*((I309-I314)^2+(I310-I314)^2+(I311-I314)^2+(I312-I314)^2+(I313-I314)^2))^(1/2)</f>
        <v>0.25706127674155815</v>
      </c>
    </row>
    <row r="316" spans="1:9" ht="12.75">
      <c r="A316" s="4"/>
      <c r="B316" s="10" t="s">
        <v>23</v>
      </c>
      <c r="C316" s="5"/>
      <c r="D316" s="5"/>
      <c r="E316" s="5"/>
      <c r="F316" s="4"/>
      <c r="G316" s="6">
        <f>((G314/103.75)-1)*100</f>
        <v>-1.6481927710843447</v>
      </c>
      <c r="H316" s="6"/>
      <c r="I316" s="6">
        <f>((I314/14.771)-1)*100</f>
        <v>-2.802789249204529</v>
      </c>
    </row>
    <row r="317" spans="1:9" ht="12.75">
      <c r="A317" s="4"/>
      <c r="B317" s="3" t="s">
        <v>17</v>
      </c>
      <c r="C317" s="5"/>
      <c r="D317" s="5"/>
      <c r="E317" s="5"/>
      <c r="F317" s="4"/>
      <c r="G317" s="6">
        <f>((G314/111.76)-1)*100</f>
        <v>-8.69720830350753</v>
      </c>
      <c r="H317" s="6"/>
      <c r="I317" s="6">
        <f>((I314/12.169)-1)*100</f>
        <v>17.980113402909016</v>
      </c>
    </row>
    <row r="319" spans="1:9" ht="12.75">
      <c r="A319" s="4">
        <v>1</v>
      </c>
      <c r="B319" s="11">
        <v>20</v>
      </c>
      <c r="C319" s="5">
        <v>1</v>
      </c>
      <c r="D319" s="5">
        <v>5</v>
      </c>
      <c r="E319" s="5">
        <v>1</v>
      </c>
      <c r="F319" s="4">
        <v>33</v>
      </c>
      <c r="G319" s="4">
        <v>99.9</v>
      </c>
      <c r="H319" s="4">
        <v>810</v>
      </c>
      <c r="I319" s="4">
        <v>1.852</v>
      </c>
    </row>
    <row r="320" spans="1:9" ht="12.75">
      <c r="A320" s="4">
        <v>9</v>
      </c>
      <c r="B320" s="11">
        <v>20</v>
      </c>
      <c r="C320" s="5">
        <v>2</v>
      </c>
      <c r="D320" s="5">
        <v>5</v>
      </c>
      <c r="E320" s="5">
        <v>1</v>
      </c>
      <c r="F320" s="4">
        <v>33</v>
      </c>
      <c r="G320" s="4">
        <v>95.4</v>
      </c>
      <c r="H320" s="4">
        <v>895</v>
      </c>
      <c r="I320" s="4">
        <v>1.731</v>
      </c>
    </row>
    <row r="321" spans="1:9" ht="12.75">
      <c r="A321" s="4">
        <v>6</v>
      </c>
      <c r="B321" s="11">
        <v>20</v>
      </c>
      <c r="C321" s="5">
        <v>3</v>
      </c>
      <c r="D321" s="5">
        <v>5</v>
      </c>
      <c r="E321" s="5">
        <v>1</v>
      </c>
      <c r="F321" s="4">
        <v>33</v>
      </c>
      <c r="G321" s="4">
        <v>99.1</v>
      </c>
      <c r="H321" s="4">
        <v>850</v>
      </c>
      <c r="I321" s="4">
        <v>1.704</v>
      </c>
    </row>
    <row r="322" spans="1:9" ht="12.75">
      <c r="A322" s="4">
        <v>12</v>
      </c>
      <c r="B322" s="11">
        <v>20</v>
      </c>
      <c r="C322" s="5">
        <v>4</v>
      </c>
      <c r="D322" s="5">
        <v>5</v>
      </c>
      <c r="E322" s="5">
        <v>1</v>
      </c>
      <c r="F322" s="4">
        <v>38.5</v>
      </c>
      <c r="G322" s="4">
        <v>99.4</v>
      </c>
      <c r="H322" s="4">
        <v>830</v>
      </c>
      <c r="I322" s="4">
        <v>3.537</v>
      </c>
    </row>
    <row r="323" spans="1:9" ht="12.75">
      <c r="A323" s="4">
        <v>21</v>
      </c>
      <c r="B323" s="11">
        <v>20</v>
      </c>
      <c r="C323" s="5">
        <v>5</v>
      </c>
      <c r="D323" s="5">
        <v>5</v>
      </c>
      <c r="E323" s="5">
        <v>1</v>
      </c>
      <c r="F323" s="4">
        <v>38</v>
      </c>
      <c r="G323" s="4">
        <v>99.1</v>
      </c>
      <c r="H323" s="4">
        <v>900</v>
      </c>
      <c r="I323" s="4">
        <v>1.699</v>
      </c>
    </row>
    <row r="324" spans="1:9" ht="12.75">
      <c r="A324" s="4"/>
      <c r="B324" s="10" t="s">
        <v>6</v>
      </c>
      <c r="C324" s="5"/>
      <c r="D324" s="5"/>
      <c r="E324" s="5"/>
      <c r="F324" s="3"/>
      <c r="G324" s="6">
        <f>SUM(G319:G323)/5</f>
        <v>98.58</v>
      </c>
      <c r="H324" s="6"/>
      <c r="I324" s="6">
        <f>SUM(I319:I323)/5</f>
        <v>2.1046</v>
      </c>
    </row>
    <row r="325" spans="1:9" ht="12.75">
      <c r="A325" s="4"/>
      <c r="B325" s="10" t="s">
        <v>7</v>
      </c>
      <c r="C325" s="5"/>
      <c r="D325" s="5"/>
      <c r="E325" s="5"/>
      <c r="F325" s="3"/>
      <c r="G325" s="6">
        <f>((1/4)*((G319-G324)^2+(G320-G324)^2+(G321-G324)^2+(G322-G324)^2+(G323-G324)^2))^(1/2)</f>
        <v>1.8074844397670464</v>
      </c>
      <c r="H325" s="6"/>
      <c r="I325" s="6">
        <f>((1/4)*((I319-I324)^2+(I320-I324)^2+(I321-I324)^2+(I322-I324)^2+(I323-I324)^2))^(1/2)</f>
        <v>0.8031415192853623</v>
      </c>
    </row>
    <row r="326" spans="1:9" ht="12.75">
      <c r="A326" s="4"/>
      <c r="B326" s="10" t="s">
        <v>23</v>
      </c>
      <c r="C326" s="5"/>
      <c r="D326" s="5"/>
      <c r="E326" s="5"/>
      <c r="F326" s="3"/>
      <c r="G326" s="6">
        <f>((G324/100.76)-1)*100</f>
        <v>-2.1635569670504284</v>
      </c>
      <c r="H326" s="6"/>
      <c r="I326" s="6">
        <f>((I324/2.633)-1)*100</f>
        <v>-20.06836308393467</v>
      </c>
    </row>
    <row r="327" spans="1:9" ht="12.75">
      <c r="A327" s="4"/>
      <c r="B327" s="3" t="s">
        <v>17</v>
      </c>
      <c r="C327" s="5"/>
      <c r="D327" s="5"/>
      <c r="E327" s="5"/>
      <c r="F327" s="3"/>
      <c r="G327" s="6">
        <f>((G324/109.52)-1)*100</f>
        <v>-9.989043097151207</v>
      </c>
      <c r="H327" s="6"/>
      <c r="I327" s="6">
        <f>((I278/3.426)-1)*100</f>
        <v>1.115002918855823</v>
      </c>
    </row>
    <row r="328" spans="1:9" ht="12.75">
      <c r="A328" s="4">
        <v>3</v>
      </c>
      <c r="B328" s="5">
        <v>50</v>
      </c>
      <c r="C328" s="5">
        <v>1</v>
      </c>
      <c r="D328" s="5">
        <v>5</v>
      </c>
      <c r="E328" s="5">
        <v>1</v>
      </c>
      <c r="F328" s="4">
        <v>33</v>
      </c>
      <c r="G328" s="4">
        <v>96.1</v>
      </c>
      <c r="H328" s="4">
        <v>1010</v>
      </c>
      <c r="I328" s="4">
        <v>5.266</v>
      </c>
    </row>
    <row r="329" spans="1:9" ht="12.75">
      <c r="A329" s="4">
        <v>7</v>
      </c>
      <c r="B329" s="5">
        <v>50</v>
      </c>
      <c r="C329" s="5">
        <v>2</v>
      </c>
      <c r="D329" s="5">
        <v>5</v>
      </c>
      <c r="E329" s="5">
        <v>1</v>
      </c>
      <c r="F329" s="4">
        <v>33</v>
      </c>
      <c r="G329" s="4">
        <v>98</v>
      </c>
      <c r="H329" s="4">
        <v>985</v>
      </c>
      <c r="I329" s="4">
        <v>6.174</v>
      </c>
    </row>
    <row r="330" spans="1:9" ht="12.75">
      <c r="A330" s="4">
        <v>17</v>
      </c>
      <c r="B330" s="5">
        <v>50</v>
      </c>
      <c r="C330" s="5">
        <v>3</v>
      </c>
      <c r="D330" s="5">
        <v>5</v>
      </c>
      <c r="E330" s="5">
        <v>1</v>
      </c>
      <c r="F330" s="4">
        <v>39</v>
      </c>
      <c r="G330" s="4">
        <v>99.8</v>
      </c>
      <c r="H330" s="4">
        <v>955</v>
      </c>
      <c r="I330" s="4">
        <v>5.657</v>
      </c>
    </row>
    <row r="331" spans="1:9" ht="12.75">
      <c r="A331" s="4">
        <v>22</v>
      </c>
      <c r="B331" s="5">
        <v>50</v>
      </c>
      <c r="C331" s="5">
        <v>4</v>
      </c>
      <c r="D331" s="5">
        <v>5</v>
      </c>
      <c r="E331" s="5">
        <v>1</v>
      </c>
      <c r="F331" s="4">
        <v>38</v>
      </c>
      <c r="G331" s="4">
        <v>101</v>
      </c>
      <c r="H331" s="4">
        <v>920</v>
      </c>
      <c r="I331" s="4">
        <v>5.99</v>
      </c>
    </row>
    <row r="332" spans="1:9" ht="12.75">
      <c r="A332" s="4">
        <v>24</v>
      </c>
      <c r="B332" s="5">
        <v>50</v>
      </c>
      <c r="C332" s="5">
        <v>5</v>
      </c>
      <c r="D332" s="5">
        <v>5</v>
      </c>
      <c r="E332" s="5">
        <v>1</v>
      </c>
      <c r="F332" s="4">
        <v>38</v>
      </c>
      <c r="G332" s="4">
        <v>99.3</v>
      </c>
      <c r="H332" s="4">
        <v>980</v>
      </c>
      <c r="I332" s="4">
        <v>6.023</v>
      </c>
    </row>
    <row r="333" spans="1:9" ht="12.75">
      <c r="A333" s="4"/>
      <c r="B333" s="10" t="s">
        <v>6</v>
      </c>
      <c r="C333" s="5"/>
      <c r="D333" s="5"/>
      <c r="E333" s="5"/>
      <c r="F333" s="3"/>
      <c r="G333" s="6">
        <f>SUM(G328:G332)/5</f>
        <v>98.84</v>
      </c>
      <c r="H333" s="6"/>
      <c r="I333" s="6">
        <f>SUM(I328:I332)/5</f>
        <v>5.822000000000001</v>
      </c>
    </row>
    <row r="334" spans="1:9" ht="12.75">
      <c r="A334" s="4"/>
      <c r="B334" s="10" t="s">
        <v>7</v>
      </c>
      <c r="C334" s="5"/>
      <c r="D334" s="5"/>
      <c r="E334" s="5"/>
      <c r="F334" s="3"/>
      <c r="G334" s="6">
        <f>((1/4)*((G328-G333)^2+(G329-G333)^2+(G330-G333)^2+(G331-G333)^2+(G332-G333)^2))^(1/2)</f>
        <v>1.8716303053755048</v>
      </c>
      <c r="H334" s="6"/>
      <c r="I334" s="6">
        <f>((1/4)*((I328-I333)^2+(I329-I333)^2+(I330-I333)^2+(I331-I333)^2+(I332-I333)^2))^(1/2)</f>
        <v>0.36362411911203035</v>
      </c>
    </row>
    <row r="335" spans="1:9" ht="12.75">
      <c r="A335" s="4"/>
      <c r="B335" s="10" t="s">
        <v>23</v>
      </c>
      <c r="C335" s="5"/>
      <c r="D335" s="5"/>
      <c r="E335" s="5"/>
      <c r="F335" s="3"/>
      <c r="G335" s="6">
        <f>((G333/98.98)-1)*100</f>
        <v>-0.14144271570014633</v>
      </c>
      <c r="H335" s="6"/>
      <c r="I335" s="6">
        <f>((I333/5.32)-1)*100</f>
        <v>9.43609022556393</v>
      </c>
    </row>
    <row r="336" spans="1:9" ht="12.75">
      <c r="A336" s="4"/>
      <c r="B336" s="3" t="s">
        <v>17</v>
      </c>
      <c r="C336" s="5"/>
      <c r="D336" s="5"/>
      <c r="E336" s="5"/>
      <c r="F336" s="3"/>
      <c r="G336" s="6">
        <f>((G333/107.72)-1)*100</f>
        <v>-8.243594504270323</v>
      </c>
      <c r="H336" s="6"/>
      <c r="I336" s="6">
        <f>((I287/5.98)-1)*100</f>
        <v>-4.103678929765886</v>
      </c>
    </row>
    <row r="337" spans="1:9" ht="12.75">
      <c r="A337" s="4">
        <v>2</v>
      </c>
      <c r="B337" s="5">
        <v>80</v>
      </c>
      <c r="C337" s="5">
        <v>1</v>
      </c>
      <c r="D337" s="5">
        <v>5</v>
      </c>
      <c r="E337" s="5">
        <v>1</v>
      </c>
      <c r="F337" s="4">
        <v>33</v>
      </c>
      <c r="G337" s="4">
        <v>99.4</v>
      </c>
      <c r="H337" s="4">
        <v>1000</v>
      </c>
      <c r="I337" s="4">
        <v>7.144</v>
      </c>
    </row>
    <row r="338" spans="1:9" ht="12.75">
      <c r="A338" s="4">
        <v>8</v>
      </c>
      <c r="B338" s="5">
        <v>80</v>
      </c>
      <c r="C338" s="5">
        <v>2</v>
      </c>
      <c r="D338" s="5">
        <v>5</v>
      </c>
      <c r="E338" s="5">
        <v>1</v>
      </c>
      <c r="F338" s="4">
        <v>34</v>
      </c>
      <c r="G338" s="4">
        <v>100.8</v>
      </c>
      <c r="H338" s="4">
        <v>1000</v>
      </c>
      <c r="I338" s="4">
        <v>7.298</v>
      </c>
    </row>
    <row r="339" spans="1:9" ht="12.75">
      <c r="A339" s="4">
        <v>16</v>
      </c>
      <c r="B339" s="5">
        <v>80</v>
      </c>
      <c r="C339" s="5">
        <v>3</v>
      </c>
      <c r="D339" s="5">
        <v>5</v>
      </c>
      <c r="E339" s="5">
        <v>1</v>
      </c>
      <c r="F339" s="4">
        <v>38.5</v>
      </c>
      <c r="G339" s="4">
        <v>102.3</v>
      </c>
      <c r="H339" s="4">
        <v>955</v>
      </c>
      <c r="I339" s="4">
        <v>6.815</v>
      </c>
    </row>
    <row r="340" spans="1:9" ht="12.75">
      <c r="A340" s="4">
        <v>18</v>
      </c>
      <c r="B340" s="5">
        <v>80</v>
      </c>
      <c r="C340" s="5">
        <v>4</v>
      </c>
      <c r="D340" s="5">
        <v>5</v>
      </c>
      <c r="E340" s="5">
        <v>1</v>
      </c>
      <c r="F340" s="4">
        <v>39</v>
      </c>
      <c r="G340" s="4">
        <v>99.8</v>
      </c>
      <c r="H340" s="4">
        <v>1030</v>
      </c>
      <c r="I340" s="4">
        <v>7.481</v>
      </c>
    </row>
    <row r="341" spans="1:9" ht="12.75">
      <c r="A341" s="4">
        <v>25</v>
      </c>
      <c r="B341" s="5">
        <v>80</v>
      </c>
      <c r="C341" s="5">
        <v>5</v>
      </c>
      <c r="D341" s="5">
        <v>5</v>
      </c>
      <c r="E341" s="5">
        <v>1</v>
      </c>
      <c r="F341" s="4">
        <v>38</v>
      </c>
      <c r="G341" s="4">
        <v>101.7</v>
      </c>
      <c r="H341" s="4">
        <v>980</v>
      </c>
      <c r="I341" s="4">
        <v>7.334</v>
      </c>
    </row>
    <row r="342" spans="1:9" ht="12.75">
      <c r="A342" s="4"/>
      <c r="B342" s="10" t="s">
        <v>6</v>
      </c>
      <c r="C342" s="5"/>
      <c r="D342" s="5"/>
      <c r="E342" s="5"/>
      <c r="F342" s="3"/>
      <c r="G342" s="6">
        <f>SUM(G337:G341)/5</f>
        <v>100.8</v>
      </c>
      <c r="H342" s="6"/>
      <c r="I342" s="6">
        <f>SUM(I337:I341)/5</f>
        <v>7.2144</v>
      </c>
    </row>
    <row r="343" spans="1:9" ht="12.75">
      <c r="A343" s="4"/>
      <c r="B343" s="10" t="s">
        <v>7</v>
      </c>
      <c r="C343" s="5"/>
      <c r="D343" s="5"/>
      <c r="E343" s="5"/>
      <c r="F343" s="3"/>
      <c r="G343" s="6">
        <f>((1/4)*((G337-G342)^2+(G338-G342)^2+(G339-G342)^2+(G340-G342)^2+(G341-G342)^2))^(1/2)</f>
        <v>1.2267844146385283</v>
      </c>
      <c r="H343" s="6"/>
      <c r="I343" s="6">
        <f>((1/4)*((I337-I342)^2+(I338-I342)^2+(I339-I342)^2+(I340-I342)^2+(I341-I342)^2))^(1/2)</f>
        <v>0.2533994869765917</v>
      </c>
    </row>
    <row r="344" spans="1:9" ht="12.75">
      <c r="A344" s="4"/>
      <c r="B344" s="10" t="s">
        <v>23</v>
      </c>
      <c r="C344" s="5"/>
      <c r="D344" s="5"/>
      <c r="E344" s="5"/>
      <c r="F344" s="3"/>
      <c r="G344" s="6">
        <f>((G342/104.26)-1)*100</f>
        <v>-3.318626510646472</v>
      </c>
      <c r="H344" s="6"/>
      <c r="I344" s="6">
        <f>((I342/7.142)-1)*100</f>
        <v>1.0137216465975873</v>
      </c>
    </row>
    <row r="345" spans="1:9" ht="12.75">
      <c r="A345" s="4"/>
      <c r="B345" s="3" t="s">
        <v>17</v>
      </c>
      <c r="C345" s="5"/>
      <c r="D345" s="5"/>
      <c r="E345" s="5"/>
      <c r="F345" s="3"/>
      <c r="G345" s="6">
        <f>((G342/107.78)-1)*100</f>
        <v>-6.476155130822048</v>
      </c>
      <c r="H345" s="6"/>
      <c r="I345" s="6">
        <f>((I296/7.5)-1)*100</f>
        <v>-0.34933333333333483</v>
      </c>
    </row>
    <row r="346" spans="1:9" ht="12.75">
      <c r="A346" s="4">
        <v>4</v>
      </c>
      <c r="B346" s="5">
        <v>150</v>
      </c>
      <c r="C346" s="5">
        <v>1</v>
      </c>
      <c r="D346" s="5">
        <v>5</v>
      </c>
      <c r="E346" s="5">
        <v>1</v>
      </c>
      <c r="F346" s="4">
        <v>33</v>
      </c>
      <c r="G346" s="4">
        <v>98.9</v>
      </c>
      <c r="H346" s="4">
        <v>1090</v>
      </c>
      <c r="I346" s="4">
        <v>9.945</v>
      </c>
    </row>
    <row r="347" spans="1:9" ht="12.75">
      <c r="A347" s="4">
        <v>10</v>
      </c>
      <c r="B347" s="5">
        <v>150</v>
      </c>
      <c r="C347" s="5">
        <v>2</v>
      </c>
      <c r="D347" s="5">
        <v>5</v>
      </c>
      <c r="E347" s="5">
        <v>1</v>
      </c>
      <c r="F347" s="4">
        <v>34</v>
      </c>
      <c r="G347" s="4">
        <v>96.3</v>
      </c>
      <c r="H347" s="4">
        <v>1100</v>
      </c>
      <c r="I347" s="4">
        <v>10.197</v>
      </c>
    </row>
    <row r="348" spans="1:9" ht="12.75">
      <c r="A348" s="4">
        <v>14</v>
      </c>
      <c r="B348" s="5">
        <v>150</v>
      </c>
      <c r="C348" s="5">
        <v>3</v>
      </c>
      <c r="D348" s="5">
        <v>5</v>
      </c>
      <c r="E348" s="5">
        <v>1</v>
      </c>
      <c r="F348" s="4">
        <v>38.5</v>
      </c>
      <c r="G348" s="4">
        <v>103.9</v>
      </c>
      <c r="H348" s="4">
        <v>1010</v>
      </c>
      <c r="I348" s="4">
        <v>9.836</v>
      </c>
    </row>
    <row r="349" spans="1:9" ht="12.75">
      <c r="A349" s="4">
        <v>19</v>
      </c>
      <c r="B349" s="5">
        <v>150</v>
      </c>
      <c r="C349" s="5">
        <v>4</v>
      </c>
      <c r="D349" s="5">
        <v>5</v>
      </c>
      <c r="E349" s="5">
        <v>1</v>
      </c>
      <c r="F349" s="4">
        <v>38</v>
      </c>
      <c r="G349" s="4">
        <v>101.5</v>
      </c>
      <c r="H349" s="4">
        <v>1005</v>
      </c>
      <c r="I349" s="4">
        <v>9.687</v>
      </c>
    </row>
    <row r="350" spans="1:9" ht="12.75">
      <c r="A350" s="4">
        <v>23</v>
      </c>
      <c r="B350" s="5">
        <v>150</v>
      </c>
      <c r="C350" s="5">
        <v>5</v>
      </c>
      <c r="D350" s="5">
        <v>5</v>
      </c>
      <c r="E350" s="5">
        <v>1</v>
      </c>
      <c r="F350" s="4">
        <v>38</v>
      </c>
      <c r="G350" s="4">
        <v>102.2</v>
      </c>
      <c r="H350" s="4">
        <v>1030</v>
      </c>
      <c r="I350" s="4">
        <v>9.822</v>
      </c>
    </row>
    <row r="351" spans="1:9" ht="12.75">
      <c r="A351" s="4"/>
      <c r="B351" s="10" t="s">
        <v>6</v>
      </c>
      <c r="C351" s="5"/>
      <c r="D351" s="5"/>
      <c r="E351" s="5"/>
      <c r="F351" s="3"/>
      <c r="G351" s="6">
        <f>SUM(G346:G350)/5</f>
        <v>100.56</v>
      </c>
      <c r="H351" s="6"/>
      <c r="I351" s="6">
        <f>SUM(I346:I350)/5</f>
        <v>9.8974</v>
      </c>
    </row>
    <row r="352" spans="1:9" ht="12.75">
      <c r="A352" s="4"/>
      <c r="B352" s="10" t="s">
        <v>7</v>
      </c>
      <c r="C352" s="5"/>
      <c r="D352" s="5"/>
      <c r="E352" s="5"/>
      <c r="F352" s="3"/>
      <c r="G352" s="6">
        <f>((1/4)*((G346-G351)^2+(G347-G351)^2+(G348-G351)^2+(G349-G351)^2+(G350-G351)^2))^(1/2)</f>
        <v>2.9846272799128557</v>
      </c>
      <c r="H352" s="6"/>
      <c r="I352" s="6">
        <f>((1/4)*((I346-I351)^2+(I347-I351)^2+(I348-I351)^2+(I349-I351)^2+(I350-I351)^2))^(1/2)</f>
        <v>0.19088556781485597</v>
      </c>
    </row>
    <row r="353" spans="1:9" ht="12.75">
      <c r="A353" s="4"/>
      <c r="B353" s="10" t="s">
        <v>23</v>
      </c>
      <c r="C353" s="5"/>
      <c r="D353" s="5"/>
      <c r="E353" s="5"/>
      <c r="F353" s="3"/>
      <c r="G353" s="6">
        <f>((G351/101.98)-1)*100</f>
        <v>-1.3924298882133757</v>
      </c>
      <c r="H353" s="6"/>
      <c r="I353" s="6">
        <f>((I351/10.068)-1)*100</f>
        <v>-1.6944775526420375</v>
      </c>
    </row>
    <row r="354" spans="1:9" ht="12.75">
      <c r="A354" s="4"/>
      <c r="B354" s="3" t="s">
        <v>17</v>
      </c>
      <c r="C354" s="5"/>
      <c r="D354" s="5"/>
      <c r="E354" s="5"/>
      <c r="F354" s="3"/>
      <c r="G354" s="6">
        <f>((G351/113.24)-1)*100</f>
        <v>-11.197456729070998</v>
      </c>
      <c r="H354" s="6"/>
      <c r="I354" s="6">
        <f>((I305/8.49)-1)*100</f>
        <v>16.82214369846877</v>
      </c>
    </row>
    <row r="355" spans="1:9" ht="12.75">
      <c r="A355" s="4">
        <v>5</v>
      </c>
      <c r="B355" s="5">
        <v>300</v>
      </c>
      <c r="C355" s="5">
        <v>1</v>
      </c>
      <c r="D355" s="5">
        <v>5</v>
      </c>
      <c r="E355" s="5">
        <v>1</v>
      </c>
      <c r="F355" s="4">
        <v>33</v>
      </c>
      <c r="G355" s="4">
        <v>96.2</v>
      </c>
      <c r="H355" s="4">
        <v>1200</v>
      </c>
      <c r="I355" s="4">
        <v>12.196</v>
      </c>
    </row>
    <row r="356" spans="1:9" ht="12.75">
      <c r="A356" s="4">
        <v>11</v>
      </c>
      <c r="B356" s="5">
        <v>300</v>
      </c>
      <c r="C356" s="5">
        <v>2</v>
      </c>
      <c r="D356" s="5">
        <v>5</v>
      </c>
      <c r="E356" s="5">
        <v>1</v>
      </c>
      <c r="F356" s="4">
        <v>38.5</v>
      </c>
      <c r="G356" s="4">
        <v>97.1</v>
      </c>
      <c r="H356" s="4">
        <v>1180</v>
      </c>
      <c r="I356" s="4">
        <v>13.249</v>
      </c>
    </row>
    <row r="357" spans="1:9" ht="12.75">
      <c r="A357" s="4">
        <v>13</v>
      </c>
      <c r="B357" s="5">
        <v>300</v>
      </c>
      <c r="C357" s="5">
        <v>3</v>
      </c>
      <c r="D357" s="5">
        <v>5</v>
      </c>
      <c r="E357" s="5">
        <v>1</v>
      </c>
      <c r="F357" s="4">
        <v>38.5</v>
      </c>
      <c r="G357" s="4">
        <v>98.8</v>
      </c>
      <c r="H357" s="4">
        <v>1160</v>
      </c>
      <c r="I357" s="4">
        <v>13.842</v>
      </c>
    </row>
    <row r="358" spans="1:9" ht="12.75">
      <c r="A358" s="4">
        <v>15</v>
      </c>
      <c r="B358" s="5">
        <v>300</v>
      </c>
      <c r="C358" s="5">
        <v>4</v>
      </c>
      <c r="D358" s="5">
        <v>5</v>
      </c>
      <c r="E358" s="5">
        <v>1</v>
      </c>
      <c r="F358" s="4">
        <v>38.5</v>
      </c>
      <c r="G358" s="4">
        <v>100.7</v>
      </c>
      <c r="H358" s="4">
        <v>1140</v>
      </c>
      <c r="I358" s="4">
        <v>13.875</v>
      </c>
    </row>
    <row r="359" spans="1:9" ht="12.75">
      <c r="A359" s="4">
        <v>20</v>
      </c>
      <c r="B359" s="5">
        <v>300</v>
      </c>
      <c r="C359" s="5">
        <v>5</v>
      </c>
      <c r="D359" s="5">
        <v>5</v>
      </c>
      <c r="E359" s="5">
        <v>1</v>
      </c>
      <c r="F359" s="4">
        <v>38</v>
      </c>
      <c r="G359" s="4">
        <v>99.5</v>
      </c>
      <c r="H359" s="4">
        <v>1180</v>
      </c>
      <c r="I359" s="4">
        <v>12.85</v>
      </c>
    </row>
    <row r="360" spans="1:9" ht="12.75">
      <c r="A360" s="4"/>
      <c r="B360" s="10" t="s">
        <v>6</v>
      </c>
      <c r="C360" s="5"/>
      <c r="D360" s="5"/>
      <c r="E360" s="5"/>
      <c r="F360" s="3"/>
      <c r="G360" s="6">
        <f>SUM(G355:G359)/5</f>
        <v>98.46000000000001</v>
      </c>
      <c r="H360" s="6"/>
      <c r="I360" s="6">
        <f>SUM(I355:I359)/5</f>
        <v>13.2024</v>
      </c>
    </row>
    <row r="361" spans="1:9" ht="12.75">
      <c r="A361" s="4"/>
      <c r="B361" s="10" t="s">
        <v>7</v>
      </c>
      <c r="C361" s="5"/>
      <c r="D361" s="5"/>
      <c r="E361" s="5"/>
      <c r="F361" s="3"/>
      <c r="G361" s="6">
        <f>((1/4)*((G355-G360)^2+(G356-G360)^2+(G357-G360)^2+(G358-G360)^2+(G359-G360)^2))^(1/2)</f>
        <v>1.8146625030566987</v>
      </c>
      <c r="H361" s="6"/>
      <c r="I361" s="6">
        <f>((1/4)*((I257-I360)^2+(I356-I360)^2+(I357-I360)^2+(I358-I360)^2+(I359-I360)^2))^(1/2)</f>
        <v>1.5998398513601297</v>
      </c>
    </row>
    <row r="362" spans="1:9" ht="12.75">
      <c r="A362" s="4"/>
      <c r="B362" s="10" t="s">
        <v>23</v>
      </c>
      <c r="C362" s="5"/>
      <c r="D362" s="5"/>
      <c r="E362" s="5"/>
      <c r="F362" s="3"/>
      <c r="G362" s="6">
        <f>((G360/103.75)-1)*100</f>
        <v>-5.098795180722881</v>
      </c>
      <c r="H362" s="6"/>
      <c r="I362" s="6">
        <f>((I360/14.771)-1)*100</f>
        <v>-10.619457044208247</v>
      </c>
    </row>
    <row r="363" spans="1:9" ht="12.75">
      <c r="A363" s="4"/>
      <c r="B363" s="3" t="s">
        <v>17</v>
      </c>
      <c r="C363" s="5"/>
      <c r="D363" s="5"/>
      <c r="E363" s="5"/>
      <c r="F363" s="3"/>
      <c r="G363" s="6">
        <f>((G360/111.56)-1)*100</f>
        <v>-11.742560057368223</v>
      </c>
      <c r="H363" s="6"/>
      <c r="I363" s="6">
        <f>((I314/12.82)-1)*100</f>
        <v>11.989079563182514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1">
      <selection activeCell="C3" sqref="C3"/>
    </sheetView>
  </sheetViews>
  <sheetFormatPr defaultColWidth="11.421875" defaultRowHeight="12.75"/>
  <cols>
    <col min="1" max="1" width="7.57421875" style="0" customWidth="1"/>
    <col min="2" max="2" width="14.7109375" style="0" customWidth="1"/>
    <col min="3" max="3" width="5.00390625" style="0" customWidth="1"/>
    <col min="4" max="4" width="11.7109375" style="0" customWidth="1"/>
    <col min="5" max="5" width="8.28125" style="0" customWidth="1"/>
    <col min="6" max="6" width="10.8515625" style="0" customWidth="1"/>
    <col min="7" max="7" width="12.7109375" style="0" customWidth="1"/>
    <col min="8" max="8" width="10.57421875" style="0" customWidth="1"/>
    <col min="9" max="9" width="16.57421875" style="0" customWidth="1"/>
  </cols>
  <sheetData>
    <row r="1" ht="15.75">
      <c r="A1" s="1" t="s">
        <v>25</v>
      </c>
    </row>
    <row r="3" spans="1:9" ht="12.75">
      <c r="A3" s="3" t="s">
        <v>0</v>
      </c>
      <c r="B3" s="3" t="s">
        <v>1</v>
      </c>
      <c r="C3" s="3" t="s">
        <v>9</v>
      </c>
      <c r="D3" s="3" t="s">
        <v>12</v>
      </c>
      <c r="E3" s="3" t="s">
        <v>13</v>
      </c>
      <c r="F3" s="3" t="s">
        <v>14</v>
      </c>
      <c r="G3" s="3" t="s">
        <v>2</v>
      </c>
      <c r="H3" s="3" t="s">
        <v>4</v>
      </c>
      <c r="I3" s="3" t="s">
        <v>5</v>
      </c>
    </row>
    <row r="4" spans="1:9" ht="12.75">
      <c r="A4" s="4">
        <v>1</v>
      </c>
      <c r="B4" s="11">
        <v>20</v>
      </c>
      <c r="C4" s="5">
        <v>1</v>
      </c>
      <c r="D4" s="5">
        <v>5</v>
      </c>
      <c r="E4" s="5">
        <v>1</v>
      </c>
      <c r="F4" s="4">
        <v>40</v>
      </c>
      <c r="G4" s="4">
        <v>125.5</v>
      </c>
      <c r="H4" s="4">
        <v>652</v>
      </c>
      <c r="I4" s="4">
        <v>6.543</v>
      </c>
    </row>
    <row r="5" spans="1:9" ht="12.75">
      <c r="A5" s="4">
        <v>7</v>
      </c>
      <c r="B5" s="11">
        <v>20</v>
      </c>
      <c r="C5" s="5">
        <v>2</v>
      </c>
      <c r="D5" s="5">
        <v>5</v>
      </c>
      <c r="E5" s="5">
        <v>1</v>
      </c>
      <c r="F5" s="4">
        <v>36</v>
      </c>
      <c r="G5" s="4">
        <v>105.8</v>
      </c>
      <c r="H5" s="4">
        <v>1100</v>
      </c>
      <c r="I5" s="4">
        <v>6.374</v>
      </c>
    </row>
    <row r="6" spans="1:9" ht="12.75">
      <c r="A6" s="4">
        <v>15</v>
      </c>
      <c r="B6" s="11">
        <v>20</v>
      </c>
      <c r="C6" s="5">
        <v>3</v>
      </c>
      <c r="D6" s="5">
        <v>5</v>
      </c>
      <c r="E6" s="5">
        <v>1</v>
      </c>
      <c r="F6" s="4">
        <v>37</v>
      </c>
      <c r="G6" s="4">
        <v>130.7</v>
      </c>
      <c r="H6" s="4">
        <v>580</v>
      </c>
      <c r="I6" s="4">
        <v>6.677</v>
      </c>
    </row>
    <row r="7" spans="1:9" ht="12.75">
      <c r="A7" s="4">
        <v>16</v>
      </c>
      <c r="B7" s="11">
        <v>20</v>
      </c>
      <c r="C7" s="5">
        <v>4</v>
      </c>
      <c r="D7" s="5">
        <v>5</v>
      </c>
      <c r="E7" s="5">
        <v>1</v>
      </c>
      <c r="F7" s="4">
        <v>37</v>
      </c>
      <c r="G7" s="4">
        <v>130.7</v>
      </c>
      <c r="H7" s="4">
        <v>550</v>
      </c>
      <c r="I7" s="4">
        <v>5.121</v>
      </c>
    </row>
    <row r="8" spans="1:9" ht="12.75">
      <c r="A8" s="4">
        <v>24</v>
      </c>
      <c r="B8" s="11">
        <v>20</v>
      </c>
      <c r="C8" s="5">
        <v>5</v>
      </c>
      <c r="D8" s="5">
        <v>5</v>
      </c>
      <c r="E8" s="5">
        <v>1</v>
      </c>
      <c r="F8" s="4">
        <v>36</v>
      </c>
      <c r="G8" s="4">
        <v>120.7</v>
      </c>
      <c r="H8" s="4">
        <v>670</v>
      </c>
      <c r="I8" s="4">
        <v>6.013</v>
      </c>
    </row>
    <row r="9" spans="1:9" ht="12.75">
      <c r="A9" s="4"/>
      <c r="B9" s="10" t="s">
        <v>6</v>
      </c>
      <c r="C9" s="5"/>
      <c r="D9" s="5"/>
      <c r="E9" s="5"/>
      <c r="F9" s="3"/>
      <c r="G9" s="6">
        <f>SUM(G4:G8)/5</f>
        <v>122.67999999999999</v>
      </c>
      <c r="H9" s="6"/>
      <c r="I9" s="6">
        <f>SUM(I4:I8)/5</f>
        <v>6.1456</v>
      </c>
    </row>
    <row r="10" spans="1:9" ht="12.75">
      <c r="A10" s="4"/>
      <c r="B10" s="10" t="s">
        <v>7</v>
      </c>
      <c r="C10" s="5"/>
      <c r="D10" s="5"/>
      <c r="E10" s="5"/>
      <c r="F10" s="3"/>
      <c r="G10" s="6">
        <f>((1/4)*((G4-G9)^2+(G5-G9)^2+(G6-G9)^2+(G7-G9)^2+(G8-G9)^2))^(1/2)</f>
        <v>10.313195431096997</v>
      </c>
      <c r="H10" s="6"/>
      <c r="I10" s="6">
        <f>((1/4)*((I4-I9)^2+(I5-I9)^2+(I6-I9)^2+(I7-I9)^2+(I8-I9)^2))^(1/2)</f>
        <v>0.6244732180005798</v>
      </c>
    </row>
    <row r="11" spans="1:9" ht="12.75">
      <c r="A11" s="4"/>
      <c r="B11" s="10" t="s">
        <v>15</v>
      </c>
      <c r="C11" s="5"/>
      <c r="D11" s="5"/>
      <c r="E11" s="5"/>
      <c r="F11" s="3"/>
      <c r="G11" s="6">
        <f>((G9/127.88)-1)*100</f>
        <v>-4.066312167657182</v>
      </c>
      <c r="H11" s="6"/>
      <c r="I11" s="6">
        <f>((I9/5.943)-1)*100</f>
        <v>3.4090526670031984</v>
      </c>
    </row>
    <row r="12" spans="1:9" ht="12.75">
      <c r="A12" s="4">
        <v>2</v>
      </c>
      <c r="B12" s="5">
        <v>50</v>
      </c>
      <c r="C12" s="5">
        <v>1</v>
      </c>
      <c r="D12" s="5">
        <v>5</v>
      </c>
      <c r="E12" s="5">
        <v>1</v>
      </c>
      <c r="F12" s="4">
        <v>40</v>
      </c>
      <c r="G12" s="4">
        <v>126.1</v>
      </c>
      <c r="H12" s="4">
        <v>830</v>
      </c>
      <c r="I12" s="4">
        <v>13.151</v>
      </c>
    </row>
    <row r="13" spans="1:9" ht="12.75">
      <c r="A13" s="4">
        <v>10</v>
      </c>
      <c r="B13" s="5">
        <v>50</v>
      </c>
      <c r="C13" s="5">
        <v>2</v>
      </c>
      <c r="D13" s="5">
        <v>5</v>
      </c>
      <c r="E13" s="5">
        <v>1</v>
      </c>
      <c r="F13" s="4">
        <v>36.5</v>
      </c>
      <c r="G13" s="4">
        <v>109.7</v>
      </c>
      <c r="H13" s="4">
        <v>1150</v>
      </c>
      <c r="I13" s="4">
        <v>13.158</v>
      </c>
    </row>
    <row r="14" spans="1:9" ht="12.75">
      <c r="A14" s="4">
        <v>11</v>
      </c>
      <c r="B14" s="5">
        <v>50</v>
      </c>
      <c r="C14" s="5">
        <v>3</v>
      </c>
      <c r="D14" s="5">
        <v>5</v>
      </c>
      <c r="E14" s="5">
        <v>1</v>
      </c>
      <c r="F14" s="4">
        <v>36.5</v>
      </c>
      <c r="G14" s="4">
        <v>118.3</v>
      </c>
      <c r="H14" s="4">
        <v>1010</v>
      </c>
      <c r="I14" s="4">
        <v>12.719</v>
      </c>
    </row>
    <row r="15" spans="1:9" ht="12.75">
      <c r="A15" s="4">
        <v>17</v>
      </c>
      <c r="B15" s="5">
        <v>50</v>
      </c>
      <c r="C15" s="5">
        <v>4</v>
      </c>
      <c r="D15" s="5">
        <v>5</v>
      </c>
      <c r="E15" s="5">
        <v>1</v>
      </c>
      <c r="F15" s="4">
        <v>37</v>
      </c>
      <c r="G15" s="4">
        <v>128.1</v>
      </c>
      <c r="H15" s="4">
        <v>830</v>
      </c>
      <c r="I15" s="4">
        <v>12.031</v>
      </c>
    </row>
    <row r="16" spans="1:9" ht="12.75">
      <c r="A16" s="4">
        <v>22</v>
      </c>
      <c r="B16" s="5">
        <v>50</v>
      </c>
      <c r="C16" s="5">
        <v>5</v>
      </c>
      <c r="D16" s="5">
        <v>5</v>
      </c>
      <c r="E16" s="5">
        <v>1</v>
      </c>
      <c r="F16" s="4">
        <v>37</v>
      </c>
      <c r="G16" s="4">
        <v>121.3</v>
      </c>
      <c r="H16" s="4">
        <v>920</v>
      </c>
      <c r="I16" s="4">
        <v>12.78</v>
      </c>
    </row>
    <row r="17" spans="1:9" ht="12.75">
      <c r="A17" s="4"/>
      <c r="B17" s="10" t="s">
        <v>6</v>
      </c>
      <c r="C17" s="5"/>
      <c r="D17" s="5"/>
      <c r="E17" s="5"/>
      <c r="F17" s="3"/>
      <c r="G17" s="6">
        <f>SUM(G12:G16)/5</f>
        <v>120.7</v>
      </c>
      <c r="H17" s="6"/>
      <c r="I17" s="6">
        <f>SUM(I12:I16)/5</f>
        <v>12.7678</v>
      </c>
    </row>
    <row r="18" spans="1:9" ht="12.75">
      <c r="A18" s="4"/>
      <c r="B18" s="10" t="s">
        <v>7</v>
      </c>
      <c r="C18" s="5"/>
      <c r="D18" s="5"/>
      <c r="E18" s="5"/>
      <c r="F18" s="3"/>
      <c r="G18" s="6">
        <f>((1/4)*((G12-G17)^2+(G13-G17)^2+(G14-G17)^2+(G15-G17)^2+(G16-G17)^2))^(1/2)</f>
        <v>7.263607918933947</v>
      </c>
      <c r="H18" s="6"/>
      <c r="I18" s="6">
        <f>((1/4)*((I12-I17)^2+(I13-I17)^2+(I14-I17)^2+(I15-I17)^2+(I16-I17)^2))^(1/2)</f>
        <v>0.45948416730068037</v>
      </c>
    </row>
    <row r="19" spans="1:9" ht="12.75">
      <c r="A19" s="4"/>
      <c r="B19" s="10" t="s">
        <v>15</v>
      </c>
      <c r="C19" s="5"/>
      <c r="D19" s="5"/>
      <c r="E19" s="5"/>
      <c r="F19" s="3"/>
      <c r="G19" s="6">
        <f>((G17/127.18)-1)*100</f>
        <v>-5.095140745400228</v>
      </c>
      <c r="H19" s="6"/>
      <c r="I19" s="6">
        <f>((I17/12.968)-1)*100</f>
        <v>-1.5438001233806342</v>
      </c>
    </row>
    <row r="20" spans="1:9" ht="12.75">
      <c r="A20" s="4">
        <v>5</v>
      </c>
      <c r="B20" s="5">
        <v>80</v>
      </c>
      <c r="C20" s="5">
        <v>1</v>
      </c>
      <c r="D20" s="5">
        <v>5</v>
      </c>
      <c r="E20" s="5">
        <v>1</v>
      </c>
      <c r="F20" s="4">
        <v>36</v>
      </c>
      <c r="G20" s="4">
        <v>123.3</v>
      </c>
      <c r="H20" s="4">
        <v>936</v>
      </c>
      <c r="I20" s="4">
        <v>17.213</v>
      </c>
    </row>
    <row r="21" spans="1:9" ht="12.75">
      <c r="A21" s="4">
        <v>6</v>
      </c>
      <c r="B21" s="5">
        <v>80</v>
      </c>
      <c r="C21" s="5">
        <v>2</v>
      </c>
      <c r="D21" s="5">
        <v>5</v>
      </c>
      <c r="E21" s="5">
        <v>1</v>
      </c>
      <c r="F21" s="4">
        <v>36</v>
      </c>
      <c r="G21" s="4">
        <v>126.5</v>
      </c>
      <c r="H21" s="4">
        <v>880</v>
      </c>
      <c r="I21" s="4">
        <v>18.369</v>
      </c>
    </row>
    <row r="22" spans="1:9" ht="12.75">
      <c r="A22" s="4">
        <v>12</v>
      </c>
      <c r="B22" s="5">
        <v>80</v>
      </c>
      <c r="C22" s="5">
        <v>3</v>
      </c>
      <c r="D22" s="5">
        <v>5</v>
      </c>
      <c r="E22" s="5">
        <v>1</v>
      </c>
      <c r="F22" s="4">
        <v>38</v>
      </c>
      <c r="G22" s="4">
        <v>126.5</v>
      </c>
      <c r="H22" s="4">
        <v>842</v>
      </c>
      <c r="I22" s="4">
        <v>18.577</v>
      </c>
    </row>
    <row r="23" spans="1:9" ht="12.75">
      <c r="A23" s="4">
        <v>19</v>
      </c>
      <c r="B23" s="5">
        <v>80</v>
      </c>
      <c r="C23" s="5">
        <v>4</v>
      </c>
      <c r="D23" s="5">
        <v>5</v>
      </c>
      <c r="E23" s="5">
        <v>1</v>
      </c>
      <c r="F23" s="4">
        <v>36.5</v>
      </c>
      <c r="G23" s="4">
        <v>112.5</v>
      </c>
      <c r="H23" s="4">
        <v>1180</v>
      </c>
      <c r="I23" s="4">
        <v>16.193</v>
      </c>
    </row>
    <row r="24" spans="1:9" ht="12.75">
      <c r="A24" s="4">
        <v>23</v>
      </c>
      <c r="B24" s="5">
        <v>80</v>
      </c>
      <c r="C24" s="5">
        <v>5</v>
      </c>
      <c r="D24" s="5">
        <v>5</v>
      </c>
      <c r="E24" s="5">
        <v>1</v>
      </c>
      <c r="F24" s="4">
        <v>37</v>
      </c>
      <c r="G24" s="4">
        <v>121.8</v>
      </c>
      <c r="H24" s="4">
        <v>923</v>
      </c>
      <c r="I24" s="4">
        <v>17.713</v>
      </c>
    </row>
    <row r="25" spans="1:9" ht="12.75">
      <c r="A25" s="4"/>
      <c r="B25" s="10" t="s">
        <v>6</v>
      </c>
      <c r="C25" s="5"/>
      <c r="D25" s="5"/>
      <c r="E25" s="5"/>
      <c r="F25" s="3"/>
      <c r="G25" s="6">
        <f>SUM(G20:G24)/5</f>
        <v>122.12</v>
      </c>
      <c r="H25" s="6"/>
      <c r="I25" s="6">
        <f>SUM(I20:I24)/5</f>
        <v>17.613</v>
      </c>
    </row>
    <row r="26" spans="1:9" ht="12.75">
      <c r="A26" s="4"/>
      <c r="B26" s="10" t="s">
        <v>7</v>
      </c>
      <c r="C26" s="5"/>
      <c r="D26" s="5"/>
      <c r="E26" s="5"/>
      <c r="F26" s="3"/>
      <c r="G26" s="6">
        <f>((1/4)*((G20-G25)^2+(G21-G25)^2+(G22-G25)^2+(G23-G25)^2+(G24-G25)^2))^(1/2)</f>
        <v>5.753433757331355</v>
      </c>
      <c r="H26" s="6"/>
      <c r="I26" s="6">
        <f>((1/4)*((I20-I25)^2+(I21-I25)^2+(I22-I25)^2+(I23-I25)^2+(I24-I25)^2))^(1/2)</f>
        <v>0.960108327221465</v>
      </c>
    </row>
    <row r="27" spans="1:9" ht="12.75">
      <c r="A27" s="4"/>
      <c r="B27" s="10" t="s">
        <v>15</v>
      </c>
      <c r="C27" s="5"/>
      <c r="D27" s="5"/>
      <c r="E27" s="5"/>
      <c r="F27" s="3"/>
      <c r="G27" s="6">
        <f>((G25/127.88)-1)*100</f>
        <v>-4.504222708789484</v>
      </c>
      <c r="H27" s="6"/>
      <c r="I27" s="6">
        <f>((I25/16.91)-1)*100</f>
        <v>4.157303370786503</v>
      </c>
    </row>
    <row r="28" spans="1:9" ht="12.75">
      <c r="A28" s="4">
        <v>3</v>
      </c>
      <c r="B28" s="5">
        <v>150</v>
      </c>
      <c r="C28" s="5">
        <v>1</v>
      </c>
      <c r="D28" s="5">
        <v>5</v>
      </c>
      <c r="E28" s="5">
        <v>1</v>
      </c>
      <c r="F28" s="4">
        <v>39</v>
      </c>
      <c r="G28" s="4">
        <v>118.1</v>
      </c>
      <c r="H28" s="4">
        <v>1140</v>
      </c>
      <c r="I28" s="4">
        <v>27.262</v>
      </c>
    </row>
    <row r="29" spans="1:9" ht="12.75">
      <c r="A29" s="4">
        <v>9</v>
      </c>
      <c r="B29" s="5">
        <v>150</v>
      </c>
      <c r="C29" s="5">
        <v>2</v>
      </c>
      <c r="D29" s="5">
        <v>5</v>
      </c>
      <c r="E29" s="5">
        <v>1</v>
      </c>
      <c r="F29" s="4">
        <v>36</v>
      </c>
      <c r="G29" s="4">
        <v>113.1</v>
      </c>
      <c r="H29" s="4">
        <v>1225</v>
      </c>
      <c r="I29" s="4">
        <v>29.167</v>
      </c>
    </row>
    <row r="30" spans="1:9" ht="12.75">
      <c r="A30" s="4">
        <v>14</v>
      </c>
      <c r="B30" s="5">
        <v>150</v>
      </c>
      <c r="C30" s="5">
        <v>3</v>
      </c>
      <c r="D30" s="5">
        <v>5</v>
      </c>
      <c r="E30" s="5">
        <v>1</v>
      </c>
      <c r="F30" s="4">
        <v>37</v>
      </c>
      <c r="G30" s="4">
        <v>127.7</v>
      </c>
      <c r="H30" s="4">
        <v>980</v>
      </c>
      <c r="I30" s="4">
        <v>28.996</v>
      </c>
    </row>
    <row r="31" spans="1:9" ht="12.75">
      <c r="A31" s="4">
        <v>18</v>
      </c>
      <c r="B31" s="5">
        <v>150</v>
      </c>
      <c r="C31" s="5">
        <v>4</v>
      </c>
      <c r="D31" s="5">
        <v>5</v>
      </c>
      <c r="E31" s="5">
        <v>1</v>
      </c>
      <c r="F31" s="4">
        <v>37</v>
      </c>
      <c r="G31" s="4">
        <v>114.5</v>
      </c>
      <c r="H31" s="4">
        <v>1165</v>
      </c>
      <c r="I31" s="4">
        <v>26.678</v>
      </c>
    </row>
    <row r="32" spans="1:9" ht="12.75">
      <c r="A32" s="4">
        <v>21</v>
      </c>
      <c r="B32" s="5">
        <v>150</v>
      </c>
      <c r="C32" s="5">
        <v>5</v>
      </c>
      <c r="D32" s="5">
        <v>5</v>
      </c>
      <c r="E32" s="5">
        <v>1</v>
      </c>
      <c r="F32" s="4">
        <v>36</v>
      </c>
      <c r="G32" s="4">
        <v>120.4</v>
      </c>
      <c r="H32" s="4">
        <v>1173</v>
      </c>
      <c r="I32" s="4">
        <v>27.923</v>
      </c>
    </row>
    <row r="33" spans="1:9" ht="12.75">
      <c r="A33" s="4"/>
      <c r="B33" s="10" t="s">
        <v>6</v>
      </c>
      <c r="C33" s="5"/>
      <c r="D33" s="5"/>
      <c r="E33" s="5"/>
      <c r="F33" s="3"/>
      <c r="G33" s="6">
        <f>SUM(G28:G32)/5</f>
        <v>118.75999999999999</v>
      </c>
      <c r="H33" s="6"/>
      <c r="I33" s="6">
        <f>SUM(I28:I32)/5</f>
        <v>28.005199999999995</v>
      </c>
    </row>
    <row r="34" spans="1:9" ht="12.75">
      <c r="A34" s="4"/>
      <c r="B34" s="10" t="s">
        <v>7</v>
      </c>
      <c r="C34" s="5"/>
      <c r="D34" s="5"/>
      <c r="E34" s="5"/>
      <c r="F34" s="3"/>
      <c r="G34" s="6">
        <f>((1/4)*((G28-G33)^2+(G29-G33)^2+(G30-G33)^2+(G31-G33)^2+(G32-G33)^2))^(1/2)</f>
        <v>5.771308343867968</v>
      </c>
      <c r="H34" s="6"/>
      <c r="I34" s="6">
        <f>((1/4)*((I28-I33)^2+(I29-I33)^2+(I30-I33)^2+(I31-I33)^2+(I32-I33)^2))^(1/2)</f>
        <v>1.078427883541593</v>
      </c>
    </row>
    <row r="35" spans="1:9" ht="12.75">
      <c r="A35" s="4"/>
      <c r="B35" s="10" t="s">
        <v>15</v>
      </c>
      <c r="C35" s="5"/>
      <c r="D35" s="5"/>
      <c r="E35" s="5"/>
      <c r="F35" s="3"/>
      <c r="G35" s="6">
        <f>((G33/127.18)-1)*100</f>
        <v>-6.620537820412031</v>
      </c>
      <c r="H35" s="6"/>
      <c r="I35" s="6">
        <f>((I33/28.243)-1)*100</f>
        <v>-0.8419785433558924</v>
      </c>
    </row>
    <row r="36" spans="1:9" ht="12.75">
      <c r="A36" s="4">
        <v>4</v>
      </c>
      <c r="B36" s="5">
        <v>300</v>
      </c>
      <c r="C36" s="5">
        <v>1</v>
      </c>
      <c r="D36" s="5">
        <v>5</v>
      </c>
      <c r="E36" s="5">
        <v>1</v>
      </c>
      <c r="F36" s="4">
        <v>37</v>
      </c>
      <c r="G36" s="4">
        <v>112.9</v>
      </c>
      <c r="H36" s="4">
        <v>1320</v>
      </c>
      <c r="I36" s="4">
        <v>33.154</v>
      </c>
    </row>
    <row r="37" spans="1:9" ht="12.75">
      <c r="A37" s="4">
        <v>8</v>
      </c>
      <c r="B37" s="5">
        <v>300</v>
      </c>
      <c r="C37" s="5">
        <v>2</v>
      </c>
      <c r="D37" s="5">
        <v>5</v>
      </c>
      <c r="E37" s="5">
        <v>1</v>
      </c>
      <c r="F37" s="4">
        <v>36</v>
      </c>
      <c r="G37" s="4">
        <v>116.4</v>
      </c>
      <c r="H37" s="4">
        <v>1280</v>
      </c>
      <c r="I37" s="4">
        <v>46.133</v>
      </c>
    </row>
    <row r="38" spans="1:9" ht="12.75">
      <c r="A38" s="4">
        <v>13</v>
      </c>
      <c r="B38" s="5">
        <v>300</v>
      </c>
      <c r="C38" s="5">
        <v>3</v>
      </c>
      <c r="D38" s="5">
        <v>5</v>
      </c>
      <c r="E38" s="5">
        <v>1</v>
      </c>
      <c r="F38" s="4">
        <v>38</v>
      </c>
      <c r="G38" s="4">
        <v>123</v>
      </c>
      <c r="H38" s="4">
        <v>1150</v>
      </c>
      <c r="I38" s="4">
        <v>33.174</v>
      </c>
    </row>
    <row r="39" spans="1:9" ht="12.75">
      <c r="A39" s="4">
        <v>20</v>
      </c>
      <c r="B39" s="5">
        <v>300</v>
      </c>
      <c r="C39" s="5">
        <v>4</v>
      </c>
      <c r="D39" s="5">
        <v>5</v>
      </c>
      <c r="E39" s="5">
        <v>1</v>
      </c>
      <c r="F39" s="4">
        <v>36</v>
      </c>
      <c r="G39" s="4">
        <v>121.2</v>
      </c>
      <c r="H39" s="4">
        <v>1240</v>
      </c>
      <c r="I39" s="4">
        <v>44.737</v>
      </c>
    </row>
    <row r="40" spans="1:9" ht="12.75">
      <c r="A40" s="4">
        <v>25</v>
      </c>
      <c r="B40" s="5">
        <v>300</v>
      </c>
      <c r="C40" s="5">
        <v>5</v>
      </c>
      <c r="D40" s="5">
        <v>5</v>
      </c>
      <c r="E40" s="5">
        <v>1</v>
      </c>
      <c r="F40" s="4">
        <v>36</v>
      </c>
      <c r="G40" s="4">
        <v>118.4</v>
      </c>
      <c r="H40" s="4">
        <v>1405</v>
      </c>
      <c r="I40" s="4">
        <v>39.3</v>
      </c>
    </row>
    <row r="41" spans="1:9" ht="12.75">
      <c r="A41" s="4"/>
      <c r="B41" s="10" t="s">
        <v>6</v>
      </c>
      <c r="C41" s="5"/>
      <c r="D41" s="5"/>
      <c r="E41" s="5"/>
      <c r="F41" s="3"/>
      <c r="G41" s="6">
        <f>SUM(G36:G40)/5</f>
        <v>118.38</v>
      </c>
      <c r="H41" s="6"/>
      <c r="I41" s="6">
        <f>SUM(I36:I40)/5</f>
        <v>39.2996</v>
      </c>
    </row>
    <row r="42" spans="1:9" ht="12.75">
      <c r="A42" s="4"/>
      <c r="B42" s="10" t="s">
        <v>7</v>
      </c>
      <c r="C42" s="5"/>
      <c r="D42" s="5"/>
      <c r="E42" s="5"/>
      <c r="F42" s="3"/>
      <c r="G42" s="6">
        <f>((1/4)*((G36-G41)^2+(G37-G41)^2+(G38-G41)^2+(G39-G41)^2+(G40-G41)^2))^(1/2)</f>
        <v>3.9764305601883683</v>
      </c>
      <c r="H42" s="6"/>
      <c r="I42" s="6">
        <f>((1/4)*((I36-I41)^2+(I37-I41)^2+(I38-I41)^2+(I39-I41)^2+(I40-I41)^2))^(1/2)</f>
        <v>6.1553238988699865</v>
      </c>
    </row>
    <row r="43" spans="1:9" ht="12.75">
      <c r="A43" s="4"/>
      <c r="B43" s="10" t="s">
        <v>15</v>
      </c>
      <c r="C43" s="5"/>
      <c r="D43" s="5"/>
      <c r="E43" s="5"/>
      <c r="F43" s="3"/>
      <c r="G43" s="6">
        <f>((G41/126.44)-1)*100</f>
        <v>-6.374565011072453</v>
      </c>
      <c r="H43" s="6"/>
      <c r="I43" s="6">
        <f>((I41/47.886)-1)*100</f>
        <v>-17.930919266591495</v>
      </c>
    </row>
    <row r="44" spans="1:9" ht="12.75">
      <c r="A44" s="36"/>
      <c r="B44" s="37"/>
      <c r="C44" s="38"/>
      <c r="D44" s="38"/>
      <c r="E44" s="38"/>
      <c r="F44" s="39"/>
      <c r="G44" s="40"/>
      <c r="H44" s="40"/>
      <c r="I44" s="40"/>
    </row>
    <row r="45" spans="1:9" ht="12.75">
      <c r="A45" s="4">
        <v>1</v>
      </c>
      <c r="B45" s="11">
        <v>20</v>
      </c>
      <c r="C45" s="5">
        <v>1</v>
      </c>
      <c r="D45" s="5">
        <v>20</v>
      </c>
      <c r="E45" s="5">
        <v>1</v>
      </c>
      <c r="F45" s="4">
        <v>39</v>
      </c>
      <c r="G45" s="4">
        <v>130.6</v>
      </c>
      <c r="H45" s="4">
        <v>565</v>
      </c>
      <c r="I45" s="4">
        <v>6.612</v>
      </c>
    </row>
    <row r="46" spans="1:9" ht="12.75">
      <c r="A46" s="4">
        <v>8</v>
      </c>
      <c r="B46" s="11">
        <v>20</v>
      </c>
      <c r="C46" s="5">
        <v>2</v>
      </c>
      <c r="D46" s="5">
        <v>20</v>
      </c>
      <c r="E46" s="5">
        <v>1</v>
      </c>
      <c r="F46" s="4">
        <v>35.5</v>
      </c>
      <c r="G46" s="4">
        <v>128.2</v>
      </c>
      <c r="H46" s="4">
        <v>670</v>
      </c>
      <c r="I46" s="4">
        <v>6.266</v>
      </c>
    </row>
    <row r="47" spans="1:9" ht="12.75">
      <c r="A47" s="4">
        <v>11</v>
      </c>
      <c r="B47" s="11">
        <v>20</v>
      </c>
      <c r="C47" s="5">
        <v>3</v>
      </c>
      <c r="D47" s="5">
        <v>20</v>
      </c>
      <c r="E47" s="5">
        <v>1</v>
      </c>
      <c r="F47" s="4">
        <v>34</v>
      </c>
      <c r="G47" s="4">
        <v>128.3</v>
      </c>
      <c r="H47" s="4">
        <v>672</v>
      </c>
      <c r="I47" s="4">
        <v>6.363</v>
      </c>
    </row>
    <row r="48" spans="1:9" ht="12.75">
      <c r="A48" s="4">
        <v>18</v>
      </c>
      <c r="B48" s="11">
        <v>20</v>
      </c>
      <c r="C48" s="5">
        <v>4</v>
      </c>
      <c r="D48" s="5">
        <v>20</v>
      </c>
      <c r="E48" s="5">
        <v>1</v>
      </c>
      <c r="F48" s="4">
        <v>44</v>
      </c>
      <c r="G48" s="4">
        <v>127.1</v>
      </c>
      <c r="H48" s="4">
        <v>700</v>
      </c>
      <c r="I48" s="4">
        <v>6.551</v>
      </c>
    </row>
    <row r="49" spans="1:9" ht="12.75">
      <c r="A49" s="4">
        <v>20</v>
      </c>
      <c r="B49" s="11">
        <v>20</v>
      </c>
      <c r="C49" s="5">
        <v>5</v>
      </c>
      <c r="D49" s="5">
        <v>20</v>
      </c>
      <c r="E49" s="5">
        <v>1</v>
      </c>
      <c r="F49" s="4">
        <v>44</v>
      </c>
      <c r="G49" s="4">
        <v>127.9</v>
      </c>
      <c r="H49" s="4">
        <v>690</v>
      </c>
      <c r="I49" s="4">
        <v>6.488</v>
      </c>
    </row>
    <row r="50" spans="1:9" ht="12.75">
      <c r="A50" s="4"/>
      <c r="B50" s="10" t="s">
        <v>6</v>
      </c>
      <c r="C50" s="5"/>
      <c r="D50" s="5"/>
      <c r="E50" s="5"/>
      <c r="F50" s="3"/>
      <c r="G50" s="6">
        <f>SUM(G45:G49)/5</f>
        <v>128.42</v>
      </c>
      <c r="H50" s="6"/>
      <c r="I50" s="6">
        <f>SUM(I45:I49)/5</f>
        <v>6.456</v>
      </c>
    </row>
    <row r="51" spans="1:9" ht="12.75">
      <c r="A51" s="4"/>
      <c r="B51" s="10" t="s">
        <v>7</v>
      </c>
      <c r="C51" s="5"/>
      <c r="D51" s="5"/>
      <c r="E51" s="5"/>
      <c r="F51" s="3"/>
      <c r="G51" s="6">
        <f>((1/4)*((G45-G50)^2+(G46-G50)^2+(G47-G50)^2+(G48-G50)^2+(G49-G50)^2))^(1/2)</f>
        <v>1.3065221008463639</v>
      </c>
      <c r="H51" s="6"/>
      <c r="I51" s="6">
        <f>((1/4)*((I45-I50)^2+(I46-I50)^2+(I47-I50)^2+(I48-I50)^2+(I49-I50)^2))^(1/2)</f>
        <v>0.14065383037798865</v>
      </c>
    </row>
    <row r="52" spans="1:9" ht="12.75">
      <c r="A52" s="4"/>
      <c r="B52" s="10" t="s">
        <v>15</v>
      </c>
      <c r="C52" s="5"/>
      <c r="D52" s="5"/>
      <c r="E52" s="5"/>
      <c r="F52" s="3"/>
      <c r="G52" s="6">
        <f>((G50/127.88)-1)*100</f>
        <v>0.42227087894901594</v>
      </c>
      <c r="H52" s="6"/>
      <c r="I52" s="6">
        <f>((I50/5.943)-1)*100</f>
        <v>8.632004038364482</v>
      </c>
    </row>
    <row r="53" spans="1:9" ht="12.75">
      <c r="A53" s="4">
        <v>4</v>
      </c>
      <c r="B53" s="5">
        <v>50</v>
      </c>
      <c r="C53" s="5">
        <v>1</v>
      </c>
      <c r="D53" s="5">
        <v>20</v>
      </c>
      <c r="E53" s="5">
        <v>1</v>
      </c>
      <c r="F53" s="4">
        <v>39</v>
      </c>
      <c r="G53" s="4">
        <v>129.3</v>
      </c>
      <c r="H53" s="4">
        <v>790</v>
      </c>
      <c r="I53" s="4">
        <v>12.067</v>
      </c>
    </row>
    <row r="54" spans="1:9" ht="12.75">
      <c r="A54" s="4">
        <v>12</v>
      </c>
      <c r="B54" s="5">
        <v>50</v>
      </c>
      <c r="C54" s="5">
        <v>2</v>
      </c>
      <c r="D54" s="5">
        <v>20</v>
      </c>
      <c r="E54" s="5">
        <v>1</v>
      </c>
      <c r="F54" s="4">
        <v>34</v>
      </c>
      <c r="G54" s="4">
        <v>130.9</v>
      </c>
      <c r="H54" s="4">
        <v>750</v>
      </c>
      <c r="I54" s="4">
        <v>13.394</v>
      </c>
    </row>
    <row r="55" spans="1:9" ht="12.75">
      <c r="A55" s="4">
        <v>13</v>
      </c>
      <c r="B55" s="5">
        <v>50</v>
      </c>
      <c r="C55" s="5">
        <v>3</v>
      </c>
      <c r="D55" s="5">
        <v>20</v>
      </c>
      <c r="E55" s="5">
        <v>1</v>
      </c>
      <c r="F55" s="4">
        <v>34</v>
      </c>
      <c r="G55" s="4">
        <v>127.2</v>
      </c>
      <c r="H55" s="4">
        <v>850</v>
      </c>
      <c r="I55" s="4">
        <v>12.209</v>
      </c>
    </row>
    <row r="56" spans="1:9" ht="12.75">
      <c r="A56" s="4">
        <v>21</v>
      </c>
      <c r="B56" s="5">
        <v>50</v>
      </c>
      <c r="C56" s="5">
        <v>4</v>
      </c>
      <c r="D56" s="5">
        <v>20</v>
      </c>
      <c r="E56" s="5">
        <v>1</v>
      </c>
      <c r="F56" s="4">
        <v>44</v>
      </c>
      <c r="G56" s="4">
        <v>127</v>
      </c>
      <c r="H56" s="4">
        <v>841</v>
      </c>
      <c r="I56" s="4">
        <v>13.29</v>
      </c>
    </row>
    <row r="57" spans="1:9" ht="12.75">
      <c r="A57" s="4">
        <v>24</v>
      </c>
      <c r="B57" s="5">
        <v>50</v>
      </c>
      <c r="C57" s="5">
        <v>5</v>
      </c>
      <c r="D57" s="5">
        <v>20</v>
      </c>
      <c r="E57" s="5">
        <v>1</v>
      </c>
      <c r="F57" s="4">
        <v>44</v>
      </c>
      <c r="G57" s="4">
        <v>130.4</v>
      </c>
      <c r="H57" s="4">
        <v>777</v>
      </c>
      <c r="I57" s="4">
        <v>12.917</v>
      </c>
    </row>
    <row r="58" spans="1:9" ht="12.75">
      <c r="A58" s="4"/>
      <c r="B58" s="10" t="s">
        <v>6</v>
      </c>
      <c r="C58" s="5"/>
      <c r="D58" s="5"/>
      <c r="E58" s="5"/>
      <c r="F58" s="3"/>
      <c r="G58" s="6">
        <f>SUM(G53:G57)/5</f>
        <v>128.96</v>
      </c>
      <c r="H58" s="6"/>
      <c r="I58" s="6">
        <f>SUM(I53:I57)/5</f>
        <v>12.775400000000001</v>
      </c>
    </row>
    <row r="59" spans="1:9" ht="12.75">
      <c r="A59" s="4"/>
      <c r="B59" s="10" t="s">
        <v>7</v>
      </c>
      <c r="C59" s="5"/>
      <c r="D59" s="5"/>
      <c r="E59" s="5"/>
      <c r="F59" s="3"/>
      <c r="G59" s="6">
        <f>((1/4)*((G53-G58)^2+(G54-G58)^2+(G55-G58)^2+(G56-G58)^2+(G57-G58)^2))^(1/2)</f>
        <v>1.7952715672009094</v>
      </c>
      <c r="H59" s="6"/>
      <c r="I59" s="6">
        <f>((1/4)*((I53-I58)^2+(I54-I58)^2+(I55-I58)^2+(I56-I58)^2+(I57-I58)^2))^(1/2)</f>
        <v>0.6103624333131913</v>
      </c>
    </row>
    <row r="60" spans="1:9" ht="12.75">
      <c r="A60" s="4"/>
      <c r="B60" s="10" t="s">
        <v>15</v>
      </c>
      <c r="C60" s="5"/>
      <c r="D60" s="5"/>
      <c r="E60" s="5"/>
      <c r="F60" s="3"/>
      <c r="G60" s="6">
        <f>((G58/127.18)-1)*100</f>
        <v>1.3995911306809328</v>
      </c>
      <c r="H60" s="6"/>
      <c r="I60" s="6">
        <f>((I58/12.968)-1)*100</f>
        <v>-1.485194324491046</v>
      </c>
    </row>
    <row r="61" spans="1:9" ht="12.75">
      <c r="A61" s="4">
        <v>2</v>
      </c>
      <c r="B61" s="5">
        <v>80</v>
      </c>
      <c r="C61" s="5">
        <v>1</v>
      </c>
      <c r="D61" s="5">
        <v>20</v>
      </c>
      <c r="E61" s="5">
        <v>1</v>
      </c>
      <c r="F61" s="4">
        <v>39</v>
      </c>
      <c r="G61" s="4">
        <v>126.5</v>
      </c>
      <c r="H61" s="4">
        <v>890</v>
      </c>
      <c r="I61" s="4">
        <v>16.038</v>
      </c>
    </row>
    <row r="62" spans="1:9" ht="12.75">
      <c r="A62" s="4">
        <v>7</v>
      </c>
      <c r="B62" s="5">
        <v>80</v>
      </c>
      <c r="C62" s="5">
        <v>2</v>
      </c>
      <c r="D62" s="5">
        <v>20</v>
      </c>
      <c r="E62" s="5">
        <v>1</v>
      </c>
      <c r="F62" s="4">
        <v>36</v>
      </c>
      <c r="G62" s="4">
        <v>134.9</v>
      </c>
      <c r="H62" s="4">
        <v>775</v>
      </c>
      <c r="I62" s="4">
        <v>17.647</v>
      </c>
    </row>
    <row r="63" spans="1:9" ht="12.75">
      <c r="A63" s="4">
        <v>10</v>
      </c>
      <c r="B63" s="5">
        <v>80</v>
      </c>
      <c r="C63" s="5">
        <v>3</v>
      </c>
      <c r="D63" s="5">
        <v>20</v>
      </c>
      <c r="E63" s="5">
        <v>1</v>
      </c>
      <c r="F63" s="4">
        <v>34</v>
      </c>
      <c r="G63" s="4">
        <v>125.1</v>
      </c>
      <c r="H63" s="4">
        <v>945</v>
      </c>
      <c r="I63" s="4">
        <v>18.072</v>
      </c>
    </row>
    <row r="64" spans="1:9" ht="12.75">
      <c r="A64" s="4">
        <v>15</v>
      </c>
      <c r="B64" s="5">
        <v>80</v>
      </c>
      <c r="C64" s="5">
        <v>4</v>
      </c>
      <c r="D64" s="5">
        <v>20</v>
      </c>
      <c r="E64" s="5">
        <v>1</v>
      </c>
      <c r="F64" s="4">
        <v>39</v>
      </c>
      <c r="G64" s="4">
        <v>126.3</v>
      </c>
      <c r="H64" s="4">
        <v>900</v>
      </c>
      <c r="I64" s="4">
        <v>17.412</v>
      </c>
    </row>
    <row r="65" spans="1:9" ht="12.75">
      <c r="A65" s="4">
        <v>23</v>
      </c>
      <c r="B65" s="5">
        <v>80</v>
      </c>
      <c r="C65" s="5">
        <v>5</v>
      </c>
      <c r="D65" s="5">
        <v>20</v>
      </c>
      <c r="E65" s="5">
        <v>1</v>
      </c>
      <c r="F65" s="4">
        <v>44</v>
      </c>
      <c r="G65" s="4">
        <v>134.7</v>
      </c>
      <c r="H65" s="4">
        <v>780</v>
      </c>
      <c r="I65" s="4">
        <v>16.714</v>
      </c>
    </row>
    <row r="66" spans="1:9" ht="12.75">
      <c r="A66" s="4"/>
      <c r="B66" s="10" t="s">
        <v>6</v>
      </c>
      <c r="C66" s="5"/>
      <c r="D66" s="5"/>
      <c r="E66" s="5"/>
      <c r="F66" s="3"/>
      <c r="G66" s="6">
        <f>SUM(G61:G65)/5</f>
        <v>129.5</v>
      </c>
      <c r="H66" s="6"/>
      <c r="I66" s="6">
        <f>SUM(I61:I65)/5</f>
        <v>17.1766</v>
      </c>
    </row>
    <row r="67" spans="1:9" ht="12.75">
      <c r="A67" s="4"/>
      <c r="B67" s="10" t="s">
        <v>7</v>
      </c>
      <c r="C67" s="5"/>
      <c r="D67" s="5"/>
      <c r="E67" s="5"/>
      <c r="F67" s="3"/>
      <c r="G67" s="6">
        <f>((1/4)*((G61-G66)^2+(G62-G66)^2+(G63-G66)^2+(G64-G66)^2+(G65-G66)^2))^(1/2)</f>
        <v>4.868264577855235</v>
      </c>
      <c r="H67" s="6"/>
      <c r="I67" s="6">
        <f>((1/4)*((I61-I66)^2+(I62-I66)^2+(I63-I66)^2+(I64-I66)^2+(I65-I66)^2))^(1/2)</f>
        <v>0.8044935052565678</v>
      </c>
    </row>
    <row r="68" spans="1:9" ht="12.75">
      <c r="A68" s="4"/>
      <c r="B68" s="10" t="s">
        <v>15</v>
      </c>
      <c r="C68" s="5"/>
      <c r="D68" s="5"/>
      <c r="E68" s="5"/>
      <c r="F68" s="3"/>
      <c r="G68" s="6">
        <f>((G66/127.88)-1)*100</f>
        <v>1.2668126368470478</v>
      </c>
      <c r="H68" s="6"/>
      <c r="I68" s="6">
        <f>((I66/16.91)-1)*100</f>
        <v>1.5765819041986928</v>
      </c>
    </row>
    <row r="69" spans="1:9" ht="12.75">
      <c r="A69" s="4">
        <v>3</v>
      </c>
      <c r="B69" s="5">
        <v>150</v>
      </c>
      <c r="C69" s="5">
        <v>1</v>
      </c>
      <c r="D69" s="5">
        <v>20</v>
      </c>
      <c r="E69" s="5">
        <v>1</v>
      </c>
      <c r="F69" s="4">
        <v>39</v>
      </c>
      <c r="G69" s="4">
        <v>130.9</v>
      </c>
      <c r="H69" s="4">
        <v>920</v>
      </c>
      <c r="I69" s="4">
        <v>26.635</v>
      </c>
    </row>
    <row r="70" spans="1:9" ht="12.75">
      <c r="A70" s="4">
        <v>9</v>
      </c>
      <c r="B70" s="5">
        <v>150</v>
      </c>
      <c r="C70" s="5">
        <v>2</v>
      </c>
      <c r="D70" s="5">
        <v>20</v>
      </c>
      <c r="E70" s="5">
        <v>1</v>
      </c>
      <c r="F70" s="4">
        <v>34.5</v>
      </c>
      <c r="G70" s="4">
        <v>131.3</v>
      </c>
      <c r="H70" s="4">
        <v>950</v>
      </c>
      <c r="I70" s="4">
        <v>27.631</v>
      </c>
    </row>
    <row r="71" spans="1:9" ht="12.75">
      <c r="A71" s="4">
        <v>16</v>
      </c>
      <c r="B71" s="5">
        <v>150</v>
      </c>
      <c r="C71" s="5">
        <v>3</v>
      </c>
      <c r="D71" s="5">
        <v>20</v>
      </c>
      <c r="E71" s="5">
        <v>1</v>
      </c>
      <c r="F71" s="4">
        <v>41</v>
      </c>
      <c r="G71" s="4">
        <v>134.9</v>
      </c>
      <c r="H71" s="4">
        <v>883</v>
      </c>
      <c r="I71" s="4">
        <v>27.957</v>
      </c>
    </row>
    <row r="72" spans="1:9" ht="12.75">
      <c r="A72" s="4">
        <v>17</v>
      </c>
      <c r="B72" s="5">
        <v>150</v>
      </c>
      <c r="C72" s="5">
        <v>4</v>
      </c>
      <c r="D72" s="5">
        <v>20</v>
      </c>
      <c r="E72" s="5">
        <v>1</v>
      </c>
      <c r="F72" s="4">
        <v>43.5</v>
      </c>
      <c r="G72" s="4">
        <v>129.4</v>
      </c>
      <c r="H72" s="4">
        <v>990</v>
      </c>
      <c r="I72" s="4">
        <v>28.991</v>
      </c>
    </row>
    <row r="73" spans="1:9" ht="12.75">
      <c r="A73" s="4">
        <v>22</v>
      </c>
      <c r="B73" s="5">
        <v>150</v>
      </c>
      <c r="C73" s="5">
        <v>5</v>
      </c>
      <c r="D73" s="5">
        <v>20</v>
      </c>
      <c r="E73" s="5">
        <v>1</v>
      </c>
      <c r="F73" s="4">
        <v>44</v>
      </c>
      <c r="G73" s="4">
        <v>130.2</v>
      </c>
      <c r="H73" s="4">
        <v>983</v>
      </c>
      <c r="I73" s="4">
        <v>27.868</v>
      </c>
    </row>
    <row r="74" spans="1:9" ht="12.75">
      <c r="A74" s="4"/>
      <c r="B74" s="10" t="s">
        <v>6</v>
      </c>
      <c r="C74" s="5"/>
      <c r="D74" s="5"/>
      <c r="E74" s="5"/>
      <c r="F74" s="3"/>
      <c r="G74" s="6">
        <f>SUM(G69:G73)/5</f>
        <v>131.34</v>
      </c>
      <c r="H74" s="6"/>
      <c r="I74" s="6">
        <f>SUM(I69:I73)/5</f>
        <v>27.816400000000005</v>
      </c>
    </row>
    <row r="75" spans="1:9" ht="12.75">
      <c r="A75" s="4"/>
      <c r="B75" s="10" t="s">
        <v>7</v>
      </c>
      <c r="C75" s="5"/>
      <c r="D75" s="5"/>
      <c r="E75" s="5"/>
      <c r="F75" s="3"/>
      <c r="G75" s="6">
        <f>((1/4)*((G69-G74)^2+(G70-G74)^2+(G71-G74)^2+(G72-G74)^2+(G73-G74)^2))^(1/2)</f>
        <v>2.117309613637082</v>
      </c>
      <c r="H75" s="6"/>
      <c r="I75" s="6">
        <f>((1/4)*((I69-I74)^2+(I70-I74)^2+(I71-I74)^2+(I72-I74)^2+(I73-I74)^2))^(1/2)</f>
        <v>0.8414563565628338</v>
      </c>
    </row>
    <row r="76" spans="1:9" ht="12.75">
      <c r="A76" s="4"/>
      <c r="B76" s="10" t="s">
        <v>15</v>
      </c>
      <c r="C76" s="5"/>
      <c r="D76" s="5"/>
      <c r="E76" s="5"/>
      <c r="F76" s="3"/>
      <c r="G76" s="6">
        <f>((G74/127.18)-1)*100</f>
        <v>3.2709545526026007</v>
      </c>
      <c r="H76" s="6"/>
      <c r="I76" s="6">
        <f>((I74/28.243)-1)*100</f>
        <v>-1.510462769535792</v>
      </c>
    </row>
    <row r="77" spans="1:9" ht="12.75">
      <c r="A77" s="4">
        <v>5</v>
      </c>
      <c r="B77" s="5">
        <v>300</v>
      </c>
      <c r="C77" s="5">
        <v>1</v>
      </c>
      <c r="D77" s="5">
        <v>20</v>
      </c>
      <c r="E77" s="5">
        <v>1</v>
      </c>
      <c r="F77" s="4">
        <v>39</v>
      </c>
      <c r="G77" s="4">
        <v>129.8</v>
      </c>
      <c r="H77" s="4">
        <v>1100</v>
      </c>
      <c r="I77" s="4">
        <v>35.864</v>
      </c>
    </row>
    <row r="78" spans="1:9" ht="12.75">
      <c r="A78" s="4">
        <v>6</v>
      </c>
      <c r="B78" s="5">
        <v>300</v>
      </c>
      <c r="C78" s="5">
        <v>2</v>
      </c>
      <c r="D78" s="5">
        <v>20</v>
      </c>
      <c r="E78" s="5">
        <v>1</v>
      </c>
      <c r="F78" s="4">
        <v>38</v>
      </c>
      <c r="G78" s="4">
        <v>131.3</v>
      </c>
      <c r="H78" s="4">
        <v>1080</v>
      </c>
      <c r="I78" s="4">
        <v>38.102</v>
      </c>
    </row>
    <row r="79" spans="1:9" ht="12.75">
      <c r="A79" s="4">
        <v>14</v>
      </c>
      <c r="B79" s="5">
        <v>300</v>
      </c>
      <c r="C79" s="5">
        <v>3</v>
      </c>
      <c r="D79" s="5">
        <v>20</v>
      </c>
      <c r="E79" s="5">
        <v>1</v>
      </c>
      <c r="F79" s="4">
        <v>38.5</v>
      </c>
      <c r="G79" s="4">
        <v>133.1</v>
      </c>
      <c r="H79" s="4">
        <v>960</v>
      </c>
      <c r="I79" s="4">
        <v>38.38</v>
      </c>
    </row>
    <row r="80" spans="1:9" ht="12.75">
      <c r="A80" s="4">
        <v>19</v>
      </c>
      <c r="B80" s="5">
        <v>300</v>
      </c>
      <c r="C80" s="5">
        <v>4</v>
      </c>
      <c r="D80" s="5">
        <v>20</v>
      </c>
      <c r="E80" s="5">
        <v>1</v>
      </c>
      <c r="F80" s="4">
        <v>43.5</v>
      </c>
      <c r="G80" s="4">
        <v>128.4</v>
      </c>
      <c r="H80" s="4">
        <v>1120</v>
      </c>
      <c r="I80" s="4">
        <v>42.852</v>
      </c>
    </row>
    <row r="81" spans="1:9" ht="12.75">
      <c r="A81" s="4">
        <v>25</v>
      </c>
      <c r="B81" s="5">
        <v>300</v>
      </c>
      <c r="C81" s="5">
        <v>5</v>
      </c>
      <c r="D81" s="5">
        <v>20</v>
      </c>
      <c r="E81" s="5">
        <v>1</v>
      </c>
      <c r="F81" s="4">
        <v>44</v>
      </c>
      <c r="G81" s="4">
        <v>132.2</v>
      </c>
      <c r="H81" s="4">
        <v>1020</v>
      </c>
      <c r="I81" s="4">
        <v>38.67</v>
      </c>
    </row>
    <row r="82" spans="1:9" ht="12.75">
      <c r="A82" s="4"/>
      <c r="B82" s="10" t="s">
        <v>6</v>
      </c>
      <c r="C82" s="5"/>
      <c r="D82" s="5"/>
      <c r="E82" s="5"/>
      <c r="F82" s="3"/>
      <c r="G82" s="6">
        <f>SUM(G77:G81)/5</f>
        <v>130.95999999999998</v>
      </c>
      <c r="H82" s="6"/>
      <c r="I82" s="6">
        <f>SUM(I77:I81)/5</f>
        <v>38.7736</v>
      </c>
    </row>
    <row r="83" spans="1:9" ht="12.75">
      <c r="A83" s="4"/>
      <c r="B83" s="10" t="s">
        <v>7</v>
      </c>
      <c r="C83" s="5"/>
      <c r="D83" s="5"/>
      <c r="E83" s="5"/>
      <c r="F83" s="3"/>
      <c r="G83" s="6">
        <f>((1/4)*((G77-G82)^2+(G78-G82)^2+(G79-G82)^2+(G80-G82)^2+(G81-G82)^2))^(1/2)</f>
        <v>1.8796276226955102</v>
      </c>
      <c r="H83" s="6"/>
      <c r="I83" s="6">
        <f>((1/4)*((I77-I82)^2+(I78-I82)^2+(I79-I82)^2+(I80-I82)^2+(I81-I82)^2))^(1/2)</f>
        <v>2.5355383649237093</v>
      </c>
    </row>
    <row r="84" spans="1:9" ht="12.75">
      <c r="A84" s="4"/>
      <c r="B84" s="10" t="s">
        <v>15</v>
      </c>
      <c r="C84" s="5"/>
      <c r="D84" s="5"/>
      <c r="E84" s="5"/>
      <c r="F84" s="3"/>
      <c r="G84" s="6">
        <f>((G82/126.44)-1)*100</f>
        <v>3.574818095539367</v>
      </c>
      <c r="H84" s="6"/>
      <c r="I84" s="6">
        <f>((I82/47.886)-1)*100</f>
        <v>-19.02936139999165</v>
      </c>
    </row>
    <row r="86" spans="1:9" ht="12.75">
      <c r="A86" s="4">
        <v>1</v>
      </c>
      <c r="B86" s="5">
        <v>50</v>
      </c>
      <c r="C86" s="5">
        <v>1</v>
      </c>
      <c r="D86" s="5">
        <v>50</v>
      </c>
      <c r="E86" s="5">
        <v>1</v>
      </c>
      <c r="F86" s="4">
        <v>37</v>
      </c>
      <c r="G86" s="4">
        <v>126</v>
      </c>
      <c r="H86" s="4">
        <v>780</v>
      </c>
      <c r="I86" s="4">
        <v>12.514</v>
      </c>
    </row>
    <row r="87" spans="1:9" ht="12.75">
      <c r="A87" s="4">
        <v>6</v>
      </c>
      <c r="B87" s="5">
        <v>50</v>
      </c>
      <c r="C87" s="5">
        <v>2</v>
      </c>
      <c r="D87" s="5">
        <v>50</v>
      </c>
      <c r="E87" s="5">
        <v>1</v>
      </c>
      <c r="F87" s="4">
        <v>36</v>
      </c>
      <c r="G87" s="4">
        <v>108.2</v>
      </c>
      <c r="H87" s="4">
        <v>1160</v>
      </c>
      <c r="I87" s="4">
        <v>13.22</v>
      </c>
    </row>
    <row r="88" spans="1:9" ht="12.75">
      <c r="A88" s="4">
        <v>10</v>
      </c>
      <c r="B88" s="5">
        <v>50</v>
      </c>
      <c r="C88" s="5">
        <v>3</v>
      </c>
      <c r="D88" s="5">
        <v>50</v>
      </c>
      <c r="E88" s="5">
        <v>1</v>
      </c>
      <c r="F88" s="4">
        <v>35</v>
      </c>
      <c r="G88" s="4">
        <v>127.9</v>
      </c>
      <c r="H88" s="4">
        <v>800</v>
      </c>
      <c r="I88" s="4">
        <v>12.834</v>
      </c>
    </row>
    <row r="89" spans="1:9" ht="12.75">
      <c r="A89" s="4">
        <v>15</v>
      </c>
      <c r="B89" s="5">
        <v>50</v>
      </c>
      <c r="C89" s="5">
        <v>4</v>
      </c>
      <c r="D89" s="5">
        <v>50</v>
      </c>
      <c r="E89" s="5">
        <v>1</v>
      </c>
      <c r="F89" s="4">
        <v>36</v>
      </c>
      <c r="G89" s="4">
        <v>131.3</v>
      </c>
      <c r="H89" s="4">
        <v>740</v>
      </c>
      <c r="I89" s="4">
        <v>12.987</v>
      </c>
    </row>
    <row r="90" spans="1:9" ht="12.75">
      <c r="A90" s="4">
        <v>17</v>
      </c>
      <c r="B90" s="5">
        <v>50</v>
      </c>
      <c r="C90" s="5">
        <v>5</v>
      </c>
      <c r="D90" s="5">
        <v>50</v>
      </c>
      <c r="E90" s="5">
        <v>1</v>
      </c>
      <c r="F90" s="4">
        <v>35</v>
      </c>
      <c r="G90" s="4">
        <v>132.2</v>
      </c>
      <c r="H90" s="4">
        <v>753</v>
      </c>
      <c r="I90" s="4">
        <v>13.029</v>
      </c>
    </row>
    <row r="91" spans="1:9" ht="12.75">
      <c r="A91" s="4"/>
      <c r="B91" s="10" t="s">
        <v>6</v>
      </c>
      <c r="C91" s="5"/>
      <c r="D91" s="5"/>
      <c r="E91" s="5"/>
      <c r="F91" s="3"/>
      <c r="G91" s="6">
        <f>SUM(G86:G90)/5</f>
        <v>125.12</v>
      </c>
      <c r="H91" s="6"/>
      <c r="I91" s="6">
        <f>SUM(I86:I90)/5</f>
        <v>12.9168</v>
      </c>
    </row>
    <row r="92" spans="1:9" ht="12.75">
      <c r="A92" s="4"/>
      <c r="B92" s="10" t="s">
        <v>7</v>
      </c>
      <c r="C92" s="5"/>
      <c r="D92" s="5"/>
      <c r="E92" s="5"/>
      <c r="F92" s="3"/>
      <c r="G92" s="6">
        <f>((1/4)*((G86-G91)^2+(G87-G91)^2+(G88-G91)^2+(G89-G91)^2+(G90-G91)^2))^(1/2)</f>
        <v>9.786572433697101</v>
      </c>
      <c r="H92" s="6"/>
      <c r="I92" s="6">
        <f>((1/4)*((I86-I91)^2+(I87-I91)^2+(I88-I91)^2+(I89-I91)^2+(I90-I91)^2))^(1/2)</f>
        <v>0.26388956023306465</v>
      </c>
    </row>
    <row r="93" spans="1:9" ht="12.75">
      <c r="A93" s="4"/>
      <c r="B93" s="10" t="s">
        <v>15</v>
      </c>
      <c r="C93" s="5"/>
      <c r="D93" s="5"/>
      <c r="E93" s="5"/>
      <c r="F93" s="3"/>
      <c r="G93" s="6">
        <f>((G91/127.18)-1)*100</f>
        <v>-1.61975153325995</v>
      </c>
      <c r="H93" s="6"/>
      <c r="I93" s="6">
        <f>((I91/12.968)-1)*100</f>
        <v>-0.39481801357186264</v>
      </c>
    </row>
    <row r="94" spans="1:9" ht="12.75">
      <c r="A94" s="4">
        <v>2</v>
      </c>
      <c r="B94" s="5">
        <v>80</v>
      </c>
      <c r="C94" s="5">
        <v>1</v>
      </c>
      <c r="D94" s="5">
        <v>50</v>
      </c>
      <c r="E94" s="5">
        <v>1</v>
      </c>
      <c r="F94" s="4">
        <v>37</v>
      </c>
      <c r="G94" s="4">
        <v>119.3</v>
      </c>
      <c r="H94" s="4">
        <v>955</v>
      </c>
      <c r="I94" s="4">
        <v>18.359</v>
      </c>
    </row>
    <row r="95" spans="1:9" ht="12.75">
      <c r="A95" s="4">
        <v>8</v>
      </c>
      <c r="B95" s="5">
        <v>80</v>
      </c>
      <c r="C95" s="5">
        <v>2</v>
      </c>
      <c r="D95" s="5">
        <v>50</v>
      </c>
      <c r="E95" s="5">
        <v>1</v>
      </c>
      <c r="F95" s="4">
        <v>35</v>
      </c>
      <c r="G95" s="4">
        <v>128.5</v>
      </c>
      <c r="H95" s="4">
        <v>875</v>
      </c>
      <c r="I95" s="4">
        <v>18.258</v>
      </c>
    </row>
    <row r="96" spans="1:9" ht="12.75">
      <c r="A96" s="4">
        <v>9</v>
      </c>
      <c r="B96" s="5">
        <v>80</v>
      </c>
      <c r="C96" s="5">
        <v>3</v>
      </c>
      <c r="D96" s="5">
        <v>50</v>
      </c>
      <c r="E96" s="5">
        <v>1</v>
      </c>
      <c r="F96" s="4">
        <v>35</v>
      </c>
      <c r="G96" s="4">
        <v>125.3</v>
      </c>
      <c r="H96" s="4">
        <v>930</v>
      </c>
      <c r="I96" s="4">
        <v>17.327</v>
      </c>
    </row>
    <row r="97" spans="1:9" ht="12.75">
      <c r="A97" s="4">
        <v>14</v>
      </c>
      <c r="B97" s="5">
        <v>80</v>
      </c>
      <c r="C97" s="5">
        <v>4</v>
      </c>
      <c r="D97" s="5">
        <v>50</v>
      </c>
      <c r="E97" s="5">
        <v>1</v>
      </c>
      <c r="F97" s="4">
        <v>36</v>
      </c>
      <c r="G97" s="4">
        <v>132.9</v>
      </c>
      <c r="H97" s="4">
        <v>750</v>
      </c>
      <c r="I97" s="4">
        <v>17.568</v>
      </c>
    </row>
    <row r="98" spans="1:9" ht="12.75">
      <c r="A98" s="4">
        <v>20</v>
      </c>
      <c r="B98" s="5">
        <v>80</v>
      </c>
      <c r="C98" s="5">
        <v>5</v>
      </c>
      <c r="D98" s="5">
        <v>50</v>
      </c>
      <c r="E98" s="5">
        <v>1</v>
      </c>
      <c r="F98" s="4">
        <v>35</v>
      </c>
      <c r="G98" s="4">
        <v>132.4</v>
      </c>
      <c r="H98" s="4">
        <v>743</v>
      </c>
      <c r="I98" s="4">
        <v>17.981</v>
      </c>
    </row>
    <row r="99" spans="1:9" ht="12.75">
      <c r="A99" s="4"/>
      <c r="B99" s="10" t="s">
        <v>6</v>
      </c>
      <c r="C99" s="5"/>
      <c r="D99" s="5"/>
      <c r="E99" s="5"/>
      <c r="F99" s="3"/>
      <c r="G99" s="6">
        <f>SUM(G94:G98)/5</f>
        <v>127.67999999999999</v>
      </c>
      <c r="H99" s="6"/>
      <c r="I99" s="6">
        <f>SUM(I94:I98)/5</f>
        <v>17.8986</v>
      </c>
    </row>
    <row r="100" spans="1:9" ht="12.75">
      <c r="A100" s="4"/>
      <c r="B100" s="10" t="s">
        <v>7</v>
      </c>
      <c r="C100" s="5"/>
      <c r="D100" s="5"/>
      <c r="E100" s="5"/>
      <c r="F100" s="3"/>
      <c r="G100" s="6">
        <f>((1/4)*((G94-G99)^2+(G95-G99)^2+(G96-G99)^2+(G97-G99)^2+(G98-G99)^2))^(1/2)</f>
        <v>5.6144456538468726</v>
      </c>
      <c r="H100" s="6"/>
      <c r="I100" s="6">
        <f>((1/4)*((I94-I99)^2+(I95-I99)^2+(I96-I99)^2+(I97-I99)^2+(I98-I99)^2))^(1/2)</f>
        <v>0.44270452900326146</v>
      </c>
    </row>
    <row r="101" spans="1:9" ht="12.75">
      <c r="A101" s="4"/>
      <c r="B101" s="10" t="s">
        <v>15</v>
      </c>
      <c r="C101" s="5"/>
      <c r="D101" s="5"/>
      <c r="E101" s="5"/>
      <c r="F101" s="3"/>
      <c r="G101" s="6">
        <f>((G99/127.88)-1)*100</f>
        <v>-0.156396621832966</v>
      </c>
      <c r="H101" s="6"/>
      <c r="I101" s="6">
        <f>((I99/16.91)-1)*100</f>
        <v>5.846244825547009</v>
      </c>
    </row>
    <row r="102" spans="1:9" ht="12.75">
      <c r="A102" s="4">
        <v>4</v>
      </c>
      <c r="B102" s="5">
        <v>150</v>
      </c>
      <c r="C102" s="5">
        <v>1</v>
      </c>
      <c r="D102" s="5">
        <v>50</v>
      </c>
      <c r="E102" s="5">
        <v>1</v>
      </c>
      <c r="F102" s="4">
        <v>37</v>
      </c>
      <c r="G102" s="4">
        <v>123.5</v>
      </c>
      <c r="H102" s="4">
        <v>1070</v>
      </c>
      <c r="I102" s="4">
        <v>24.305</v>
      </c>
    </row>
    <row r="103" spans="1:9" ht="12.75">
      <c r="A103" s="4">
        <v>5</v>
      </c>
      <c r="B103" s="5">
        <v>150</v>
      </c>
      <c r="C103" s="5">
        <v>2</v>
      </c>
      <c r="D103" s="5">
        <v>50</v>
      </c>
      <c r="E103" s="5">
        <v>1</v>
      </c>
      <c r="F103" s="4">
        <v>37</v>
      </c>
      <c r="G103" s="4">
        <v>115.9</v>
      </c>
      <c r="H103" s="4">
        <v>1120</v>
      </c>
      <c r="I103" s="4">
        <v>24.036</v>
      </c>
    </row>
    <row r="104" spans="1:9" ht="12.75">
      <c r="A104" s="4">
        <v>11</v>
      </c>
      <c r="B104" s="5">
        <v>150</v>
      </c>
      <c r="C104" s="5">
        <v>3</v>
      </c>
      <c r="D104" s="5">
        <v>50</v>
      </c>
      <c r="E104" s="5">
        <v>1</v>
      </c>
      <c r="F104" s="4">
        <v>35</v>
      </c>
      <c r="G104" s="4">
        <v>129.1</v>
      </c>
      <c r="H104" s="4">
        <v>955</v>
      </c>
      <c r="I104" s="4">
        <v>26.982</v>
      </c>
    </row>
    <row r="105" spans="1:9" ht="12.75">
      <c r="A105" s="4">
        <v>16</v>
      </c>
      <c r="B105" s="5">
        <v>150</v>
      </c>
      <c r="C105" s="5">
        <v>4</v>
      </c>
      <c r="D105" s="5">
        <v>50</v>
      </c>
      <c r="E105" s="5">
        <v>1</v>
      </c>
      <c r="F105" s="4">
        <v>35</v>
      </c>
      <c r="G105" s="4">
        <v>133.4</v>
      </c>
      <c r="H105" s="4">
        <v>877</v>
      </c>
      <c r="I105" s="4">
        <v>25.617</v>
      </c>
    </row>
    <row r="106" spans="1:9" ht="12.75">
      <c r="A106" s="4">
        <v>19</v>
      </c>
      <c r="B106" s="5">
        <v>150</v>
      </c>
      <c r="C106" s="5">
        <v>5</v>
      </c>
      <c r="D106" s="5">
        <v>50</v>
      </c>
      <c r="E106" s="5">
        <v>1</v>
      </c>
      <c r="F106" s="4">
        <v>35</v>
      </c>
      <c r="G106" s="4">
        <v>132.8</v>
      </c>
      <c r="H106" s="4">
        <v>870</v>
      </c>
      <c r="I106" s="4">
        <v>25.545</v>
      </c>
    </row>
    <row r="107" spans="1:9" ht="12.75">
      <c r="A107" s="4"/>
      <c r="B107" s="10" t="s">
        <v>6</v>
      </c>
      <c r="C107" s="5"/>
      <c r="D107" s="5"/>
      <c r="E107" s="5"/>
      <c r="F107" s="3"/>
      <c r="G107" s="6">
        <f>SUM(G102:G106)/5</f>
        <v>126.94000000000001</v>
      </c>
      <c r="H107" s="6"/>
      <c r="I107" s="6">
        <f>SUM(I102:I106)/5</f>
        <v>25.297000000000004</v>
      </c>
    </row>
    <row r="108" spans="1:9" ht="12.75">
      <c r="A108" s="4"/>
      <c r="B108" s="10" t="s">
        <v>7</v>
      </c>
      <c r="C108" s="5"/>
      <c r="D108" s="5"/>
      <c r="E108" s="5"/>
      <c r="F108" s="3"/>
      <c r="G108" s="6">
        <f>((1/4)*((G102-G107)^2+(G103-G107)^2+(G104-G107)^2+(G105-G107)^2+(G106-G107)^2))^(1/2)</f>
        <v>7.322089865605312</v>
      </c>
      <c r="H108" s="6"/>
      <c r="I108" s="6">
        <f>((1/4)*((I102-I107)^2+(I103-I107)^2+(I104-I107)^2+(I105-I107)^2+(I106-I107)^2))^(1/2)</f>
        <v>1.180816878266905</v>
      </c>
    </row>
    <row r="109" spans="1:9" ht="12.75">
      <c r="A109" s="4"/>
      <c r="B109" s="10" t="s">
        <v>15</v>
      </c>
      <c r="C109" s="5"/>
      <c r="D109" s="5"/>
      <c r="E109" s="5"/>
      <c r="F109" s="3"/>
      <c r="G109" s="6">
        <f>((G107/127.18)-1)*100</f>
        <v>-0.18870891649630517</v>
      </c>
      <c r="H109" s="6"/>
      <c r="I109" s="6">
        <f>((I107/28.243)-1)*100</f>
        <v>-10.430903232659405</v>
      </c>
    </row>
    <row r="110" spans="1:9" ht="12.75">
      <c r="A110" s="4">
        <v>3</v>
      </c>
      <c r="B110" s="5">
        <v>300</v>
      </c>
      <c r="C110" s="5">
        <v>1</v>
      </c>
      <c r="D110" s="5">
        <v>50</v>
      </c>
      <c r="E110" s="5">
        <v>1</v>
      </c>
      <c r="F110" s="4">
        <v>37</v>
      </c>
      <c r="G110" s="4">
        <v>120.1</v>
      </c>
      <c r="H110" s="4">
        <v>1140</v>
      </c>
      <c r="I110" s="4">
        <v>43.113</v>
      </c>
    </row>
    <row r="111" spans="1:9" ht="12.75">
      <c r="A111" s="4">
        <v>7</v>
      </c>
      <c r="B111" s="5">
        <v>300</v>
      </c>
      <c r="C111" s="5">
        <v>2</v>
      </c>
      <c r="D111" s="5">
        <v>50</v>
      </c>
      <c r="E111" s="5">
        <v>1</v>
      </c>
      <c r="F111" s="4">
        <v>35</v>
      </c>
      <c r="G111" s="4">
        <v>122.1</v>
      </c>
      <c r="H111" s="4">
        <v>1145</v>
      </c>
      <c r="I111" s="4">
        <v>40.851</v>
      </c>
    </row>
    <row r="112" spans="1:9" ht="12.75">
      <c r="A112" s="4">
        <v>12</v>
      </c>
      <c r="B112" s="5">
        <v>300</v>
      </c>
      <c r="C112" s="5">
        <v>3</v>
      </c>
      <c r="D112" s="5">
        <v>50</v>
      </c>
      <c r="E112" s="5">
        <v>1</v>
      </c>
      <c r="F112" s="4">
        <v>35</v>
      </c>
      <c r="G112" s="4">
        <v>129.1</v>
      </c>
      <c r="H112" s="4">
        <v>1076</v>
      </c>
      <c r="I112" s="4">
        <v>39.314</v>
      </c>
    </row>
    <row r="113" spans="1:9" ht="12.75">
      <c r="A113" s="4">
        <v>13</v>
      </c>
      <c r="B113" s="5">
        <v>300</v>
      </c>
      <c r="C113" s="5">
        <v>4</v>
      </c>
      <c r="D113" s="5">
        <v>50</v>
      </c>
      <c r="E113" s="5">
        <v>1</v>
      </c>
      <c r="F113" s="4">
        <v>36</v>
      </c>
      <c r="G113" s="4">
        <v>127.3</v>
      </c>
      <c r="H113" s="4">
        <v>1020</v>
      </c>
      <c r="I113" s="4">
        <v>34.722</v>
      </c>
    </row>
    <row r="114" spans="1:9" ht="12.75">
      <c r="A114" s="4">
        <v>18</v>
      </c>
      <c r="B114" s="5">
        <v>300</v>
      </c>
      <c r="C114" s="5">
        <v>5</v>
      </c>
      <c r="D114" s="5">
        <v>50</v>
      </c>
      <c r="E114" s="5">
        <v>1</v>
      </c>
      <c r="F114" s="4">
        <v>34.5</v>
      </c>
      <c r="G114" s="4">
        <v>135.1</v>
      </c>
      <c r="H114" s="4">
        <v>970</v>
      </c>
      <c r="I114" s="4">
        <v>39.544</v>
      </c>
    </row>
    <row r="115" spans="1:9" ht="12.75">
      <c r="A115" s="4"/>
      <c r="B115" s="10" t="s">
        <v>6</v>
      </c>
      <c r="C115" s="5"/>
      <c r="D115" s="5"/>
      <c r="E115" s="5"/>
      <c r="F115" s="3"/>
      <c r="G115" s="6">
        <f>SUM(G110:G114)/5</f>
        <v>126.73999999999998</v>
      </c>
      <c r="H115" s="6"/>
      <c r="I115" s="6">
        <f>SUM(I110:I114)/5</f>
        <v>39.508799999999994</v>
      </c>
    </row>
    <row r="116" spans="1:9" ht="12.75">
      <c r="A116" s="4"/>
      <c r="B116" s="10" t="s">
        <v>7</v>
      </c>
      <c r="C116" s="5"/>
      <c r="D116" s="5"/>
      <c r="E116" s="5"/>
      <c r="F116" s="3"/>
      <c r="G116" s="6">
        <f>((1/4)*((G110-G115)^2+(G111-G115)^2+(G112-G115)^2+(G113-G115)^2+(G114-G115)^2))^(1/2)</f>
        <v>5.9454184041158955</v>
      </c>
      <c r="H116" s="6"/>
      <c r="I116" s="6">
        <f>((1/4)*((I110-I115)^2+(I111-I115)^2+(I112-I115)^2+(I113-I115)^2+(I114-I115)^2))^(1/2)</f>
        <v>3.071823513810648</v>
      </c>
    </row>
    <row r="117" spans="1:9" ht="12.75">
      <c r="A117" s="4"/>
      <c r="B117" s="10" t="s">
        <v>15</v>
      </c>
      <c r="C117" s="5"/>
      <c r="D117" s="5"/>
      <c r="E117" s="5"/>
      <c r="F117" s="3"/>
      <c r="G117" s="6">
        <f>((G115/126.44)-1)*100</f>
        <v>0.23726668775703175</v>
      </c>
      <c r="H117" s="6"/>
      <c r="I117" s="6">
        <f>((I115/47.886)-1)*100</f>
        <v>-17.494048364866575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D1"/>
    </sheetView>
  </sheetViews>
  <sheetFormatPr defaultColWidth="11.421875" defaultRowHeight="12.75"/>
  <cols>
    <col min="1" max="1" width="14.7109375" style="0" customWidth="1"/>
    <col min="2" max="2" width="22.28125" style="0" customWidth="1"/>
    <col min="3" max="3" width="23.57421875" style="0" customWidth="1"/>
  </cols>
  <sheetData>
    <row r="1" spans="1:4" ht="15.75">
      <c r="A1" s="1" t="s">
        <v>31</v>
      </c>
      <c r="B1" s="35"/>
      <c r="C1" s="35"/>
      <c r="D1" s="35"/>
    </row>
    <row r="2" spans="1:5" ht="12.75">
      <c r="A2" s="32"/>
      <c r="B2" s="32"/>
      <c r="C2" s="32"/>
      <c r="D2" s="32"/>
      <c r="E2" s="32"/>
    </row>
    <row r="3" spans="1:3" ht="12.75">
      <c r="A3" s="3" t="s">
        <v>1</v>
      </c>
      <c r="B3" s="3" t="s">
        <v>27</v>
      </c>
      <c r="C3" s="3" t="s">
        <v>28</v>
      </c>
    </row>
    <row r="4" spans="1:3" ht="12.75">
      <c r="A4" s="5">
        <v>20</v>
      </c>
      <c r="B4" s="5">
        <v>0.63</v>
      </c>
      <c r="C4" s="5">
        <v>1.21</v>
      </c>
    </row>
    <row r="5" spans="1:3" ht="12.75">
      <c r="A5" s="5">
        <v>50</v>
      </c>
      <c r="B5" s="5">
        <v>1.1</v>
      </c>
      <c r="C5" s="5">
        <v>1.41</v>
      </c>
    </row>
    <row r="6" spans="1:3" ht="12.75">
      <c r="A6" s="5">
        <v>80</v>
      </c>
      <c r="B6" s="5">
        <v>1.81</v>
      </c>
      <c r="C6" s="5">
        <v>1.07</v>
      </c>
    </row>
    <row r="7" spans="1:3" ht="12.75">
      <c r="A7" s="5">
        <v>150</v>
      </c>
      <c r="B7" s="5">
        <v>3.29</v>
      </c>
      <c r="C7" s="5">
        <v>1.92</v>
      </c>
    </row>
    <row r="8" spans="1:3" ht="12.75">
      <c r="A8" s="5">
        <v>300</v>
      </c>
      <c r="B8" s="5">
        <v>3.46</v>
      </c>
      <c r="C8" s="5">
        <v>3.25</v>
      </c>
    </row>
    <row r="9" spans="1:3" ht="12.75">
      <c r="A9" s="3" t="s">
        <v>29</v>
      </c>
      <c r="B9" s="9">
        <f>SUM(B4:B8)</f>
        <v>10.29</v>
      </c>
      <c r="C9" s="9">
        <f>SUM(C4:C8)</f>
        <v>8.86</v>
      </c>
    </row>
    <row r="10" spans="1:3" ht="12.75">
      <c r="A10" s="3" t="s">
        <v>30</v>
      </c>
      <c r="B10" s="9">
        <v>53.73</v>
      </c>
      <c r="C10" s="9">
        <v>46.27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9" sqref="E19"/>
    </sheetView>
  </sheetViews>
  <sheetFormatPr defaultColWidth="11.421875" defaultRowHeight="12.75"/>
  <cols>
    <col min="1" max="1" width="14.57421875" style="0" customWidth="1"/>
    <col min="2" max="2" width="10.421875" style="0" customWidth="1"/>
    <col min="3" max="3" width="10.140625" style="0" customWidth="1"/>
    <col min="4" max="5" width="11.140625" style="0" customWidth="1"/>
  </cols>
  <sheetData>
    <row r="1" spans="1:3" ht="15.75">
      <c r="A1" s="1" t="s">
        <v>48</v>
      </c>
      <c r="B1" s="35"/>
      <c r="C1" s="35"/>
    </row>
    <row r="2" spans="1:3" ht="15.75">
      <c r="A2" s="1"/>
      <c r="B2" s="35"/>
      <c r="C2" s="35"/>
    </row>
    <row r="3" spans="1:5" ht="12.75">
      <c r="A3" s="3" t="s">
        <v>1</v>
      </c>
      <c r="B3" s="31" t="s">
        <v>49</v>
      </c>
      <c r="C3" s="31" t="s">
        <v>45</v>
      </c>
      <c r="D3" s="31" t="s">
        <v>46</v>
      </c>
      <c r="E3" s="31" t="s">
        <v>47</v>
      </c>
    </row>
    <row r="4" spans="1:5" ht="12.75">
      <c r="A4" s="4">
        <v>20</v>
      </c>
      <c r="B4" s="42">
        <v>0.02</v>
      </c>
      <c r="C4" s="42">
        <v>0.2</v>
      </c>
      <c r="D4" s="42">
        <v>0.16</v>
      </c>
      <c r="E4" s="4"/>
    </row>
    <row r="5" spans="1:5" ht="12.75">
      <c r="A5" s="4">
        <v>50</v>
      </c>
      <c r="B5" s="42">
        <v>0.27</v>
      </c>
      <c r="C5" s="42">
        <v>0.59</v>
      </c>
      <c r="D5" s="43">
        <v>0.49</v>
      </c>
      <c r="E5" s="42">
        <v>0.2</v>
      </c>
    </row>
    <row r="6" spans="1:5" ht="12.75">
      <c r="A6" s="4">
        <v>80</v>
      </c>
      <c r="B6" s="42">
        <v>0.41</v>
      </c>
      <c r="C6" s="42">
        <v>0.63</v>
      </c>
      <c r="D6" s="43">
        <v>0.74</v>
      </c>
      <c r="E6" s="43">
        <v>0.72</v>
      </c>
    </row>
    <row r="7" spans="1:5" ht="12.75">
      <c r="A7" s="4">
        <v>150</v>
      </c>
      <c r="B7" s="42">
        <v>0.36</v>
      </c>
      <c r="C7" s="42">
        <v>1.08</v>
      </c>
      <c r="D7" s="43">
        <v>1.29</v>
      </c>
      <c r="E7" s="43">
        <v>1.38</v>
      </c>
    </row>
    <row r="8" spans="1:5" ht="12.75">
      <c r="A8" s="4">
        <v>300</v>
      </c>
      <c r="B8" s="42">
        <v>1.03</v>
      </c>
      <c r="C8" s="42">
        <v>2.6</v>
      </c>
      <c r="D8" s="43">
        <v>2.12</v>
      </c>
      <c r="E8" s="43">
        <v>2.95</v>
      </c>
    </row>
    <row r="11" spans="1:3" ht="15.75">
      <c r="A11" s="1" t="s">
        <v>50</v>
      </c>
      <c r="B11" s="35"/>
      <c r="C11" s="35"/>
    </row>
    <row r="12" spans="1:3" ht="15.75">
      <c r="A12" s="1"/>
      <c r="B12" s="35"/>
      <c r="C12" s="35"/>
    </row>
    <row r="13" spans="1:5" ht="12.75">
      <c r="A13" s="3" t="s">
        <v>1</v>
      </c>
      <c r="B13" s="31" t="s">
        <v>44</v>
      </c>
      <c r="C13" s="31" t="s">
        <v>45</v>
      </c>
      <c r="D13" s="31" t="s">
        <v>46</v>
      </c>
      <c r="E13" s="31" t="s">
        <v>47</v>
      </c>
    </row>
    <row r="14" spans="1:5" ht="12.75">
      <c r="A14" s="4">
        <v>20</v>
      </c>
      <c r="B14" s="42">
        <v>0.08</v>
      </c>
      <c r="C14" s="42">
        <v>0.24</v>
      </c>
      <c r="D14" s="42">
        <v>0.23</v>
      </c>
      <c r="E14" s="4"/>
    </row>
    <row r="15" spans="1:5" ht="12.75">
      <c r="A15" s="4">
        <v>50</v>
      </c>
      <c r="B15" s="42">
        <v>0.19</v>
      </c>
      <c r="C15" s="42">
        <v>0.37</v>
      </c>
      <c r="D15" s="43">
        <v>0.44</v>
      </c>
      <c r="E15" s="42">
        <v>0.47</v>
      </c>
    </row>
    <row r="16" spans="1:5" ht="12.75">
      <c r="A16" s="4">
        <v>80</v>
      </c>
      <c r="B16" s="42">
        <v>0.46</v>
      </c>
      <c r="C16" s="42">
        <v>0.88</v>
      </c>
      <c r="D16" s="43">
        <v>0.55</v>
      </c>
      <c r="E16" s="43">
        <v>0.86</v>
      </c>
    </row>
    <row r="17" spans="1:5" ht="12.75">
      <c r="A17" s="4">
        <v>150</v>
      </c>
      <c r="B17" s="42">
        <v>0.31</v>
      </c>
      <c r="C17" s="42">
        <v>1.46</v>
      </c>
      <c r="D17" s="43">
        <v>1.34</v>
      </c>
      <c r="E17" s="43">
        <v>1.72</v>
      </c>
    </row>
    <row r="18" spans="1:5" ht="12.75">
      <c r="A18" s="4">
        <v>300</v>
      </c>
      <c r="B18" s="42">
        <v>0.83</v>
      </c>
      <c r="C18" s="42">
        <v>2.27</v>
      </c>
      <c r="D18" s="43">
        <v>1.85</v>
      </c>
      <c r="E18" s="43">
        <v>2.12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1"/>
  <sheetViews>
    <sheetView workbookViewId="0" topLeftCell="A1">
      <selection activeCell="A159" sqref="A159:H159"/>
    </sheetView>
  </sheetViews>
  <sheetFormatPr defaultColWidth="11.421875" defaultRowHeight="12.75"/>
  <cols>
    <col min="1" max="1" width="10.8515625" style="0" customWidth="1"/>
    <col min="2" max="2" width="9.140625" style="0" customWidth="1"/>
    <col min="3" max="3" width="9.7109375" style="0" customWidth="1"/>
    <col min="4" max="4" width="7.28125" style="0" customWidth="1"/>
    <col min="5" max="5" width="7.140625" style="0" customWidth="1"/>
    <col min="6" max="6" width="7.57421875" style="0" customWidth="1"/>
    <col min="7" max="7" width="14.140625" style="0" customWidth="1"/>
    <col min="8" max="8" width="12.421875" style="0" customWidth="1"/>
  </cols>
  <sheetData>
    <row r="1" spans="1:7" ht="15.75">
      <c r="A1" s="1" t="s">
        <v>61</v>
      </c>
      <c r="B1" s="2"/>
      <c r="C1" s="2"/>
      <c r="D1" s="2"/>
      <c r="E1" s="2"/>
      <c r="F1" s="2"/>
      <c r="G1" s="2"/>
    </row>
    <row r="3" spans="1:8" ht="12.75">
      <c r="A3" s="3" t="s">
        <v>51</v>
      </c>
      <c r="B3" s="3" t="s">
        <v>37</v>
      </c>
      <c r="C3" s="3" t="s">
        <v>52</v>
      </c>
      <c r="D3" s="31" t="s">
        <v>53</v>
      </c>
      <c r="E3" s="31" t="s">
        <v>54</v>
      </c>
      <c r="F3" s="3" t="s">
        <v>55</v>
      </c>
      <c r="G3" s="3" t="s">
        <v>56</v>
      </c>
      <c r="H3" s="3" t="s">
        <v>57</v>
      </c>
    </row>
    <row r="4" spans="1:8" ht="12.75">
      <c r="A4" s="5">
        <v>5</v>
      </c>
      <c r="B4" s="4">
        <v>105.1</v>
      </c>
      <c r="C4" s="4">
        <v>17.014</v>
      </c>
      <c r="D4" s="43">
        <f>114-C4</f>
        <v>96.986</v>
      </c>
      <c r="E4" s="43">
        <f>2*(TAN(RADIANS(0.5))*D4+17.7)</f>
        <v>37.092767999109064</v>
      </c>
      <c r="F4" s="43">
        <f>(((3.14*D4)/12)*(37.6^2+37.6*E4+E4^2))*10^-3</f>
        <v>106.1897253453138</v>
      </c>
      <c r="G4" s="43">
        <f>(1000*B4)/F4</f>
        <v>989.7379398828825</v>
      </c>
      <c r="H4" s="4">
        <v>5.026</v>
      </c>
    </row>
    <row r="5" spans="1:8" ht="12.75">
      <c r="A5" s="5">
        <v>5</v>
      </c>
      <c r="B5" s="4">
        <v>99.3</v>
      </c>
      <c r="C5" s="4">
        <v>21.892</v>
      </c>
      <c r="D5" s="43">
        <f>114-C5</f>
        <v>92.108</v>
      </c>
      <c r="E5" s="43">
        <f>2*(TAN(RADIANS(0.5))*D5+17.7)</f>
        <v>37.00762867694242</v>
      </c>
      <c r="F5" s="43">
        <f>(((3.14*D5)/12)*(37.6^2+37.6*E5+E5^2))*10^-3</f>
        <v>100.61960705309157</v>
      </c>
      <c r="G5" s="43">
        <f aca="true" t="shared" si="0" ref="G5:G67">(1000*B5)/F5</f>
        <v>986.8851897583412</v>
      </c>
      <c r="H5" s="4">
        <v>5.022</v>
      </c>
    </row>
    <row r="6" spans="1:8" ht="12.75">
      <c r="A6" s="5">
        <v>5</v>
      </c>
      <c r="B6" s="4">
        <v>103.5</v>
      </c>
      <c r="C6" s="4">
        <v>20.912</v>
      </c>
      <c r="D6" s="43">
        <f aca="true" t="shared" si="1" ref="D6:D68">114-C6</f>
        <v>93.088</v>
      </c>
      <c r="E6" s="43">
        <f>2*(TAN(RADIANS(0.5))*D6+17.7)</f>
        <v>37.02473333781231</v>
      </c>
      <c r="F6" s="43">
        <f aca="true" t="shared" si="2" ref="F6:F68">(((3.14*D6)/12)*(37.6^2+37.6*E6+E6^2))*10^-3</f>
        <v>101.73667789803234</v>
      </c>
      <c r="G6" s="43">
        <f t="shared" si="0"/>
        <v>1017.3322162508097</v>
      </c>
      <c r="H6" s="4">
        <v>5.003</v>
      </c>
    </row>
    <row r="7" spans="1:8" ht="12.75">
      <c r="A7" s="5">
        <v>5</v>
      </c>
      <c r="B7" s="4">
        <v>111.5</v>
      </c>
      <c r="C7" s="4">
        <v>12.66</v>
      </c>
      <c r="D7" s="43">
        <f t="shared" si="1"/>
        <v>101.34</v>
      </c>
      <c r="E7" s="43">
        <f>2*(TAN(RADIANS(0.5))*D7+17.7)</f>
        <v>37.16876156383099</v>
      </c>
      <c r="F7" s="43">
        <f t="shared" si="2"/>
        <v>111.1823260064957</v>
      </c>
      <c r="G7" s="43">
        <f t="shared" si="0"/>
        <v>1002.8572346425433</v>
      </c>
      <c r="H7" s="4">
        <v>5.031</v>
      </c>
    </row>
    <row r="8" spans="1:8" ht="12.75">
      <c r="A8" s="5">
        <v>5</v>
      </c>
      <c r="B8" s="4">
        <v>102.5</v>
      </c>
      <c r="C8" s="4">
        <v>21.84</v>
      </c>
      <c r="D8" s="43">
        <f t="shared" si="1"/>
        <v>92.16</v>
      </c>
      <c r="E8" s="43">
        <f aca="true" t="shared" si="3" ref="E8:E70">2*(TAN(RADIANS(0.5))*D8+17.7)</f>
        <v>37.00853627119266</v>
      </c>
      <c r="F8" s="43">
        <f t="shared" si="2"/>
        <v>100.67885524302112</v>
      </c>
      <c r="G8" s="43">
        <f t="shared" si="0"/>
        <v>1018.0886518085944</v>
      </c>
      <c r="H8" s="4">
        <v>5.031</v>
      </c>
    </row>
    <row r="9" spans="1:8" ht="12.75">
      <c r="A9" s="12">
        <v>20</v>
      </c>
      <c r="B9" s="4">
        <v>99</v>
      </c>
      <c r="C9" s="4">
        <v>30.91</v>
      </c>
      <c r="D9" s="43">
        <f t="shared" si="1"/>
        <v>83.09</v>
      </c>
      <c r="E9" s="43">
        <f t="shared" si="3"/>
        <v>36.85023088946829</v>
      </c>
      <c r="F9" s="43">
        <f t="shared" si="2"/>
        <v>90.3868401474046</v>
      </c>
      <c r="G9" s="43">
        <f t="shared" si="0"/>
        <v>1095.2921889796003</v>
      </c>
      <c r="H9" s="4">
        <v>20.22</v>
      </c>
    </row>
    <row r="10" spans="1:8" ht="12.75">
      <c r="A10" s="12">
        <v>20</v>
      </c>
      <c r="B10" s="4">
        <v>104.5</v>
      </c>
      <c r="C10" s="4">
        <v>26.149</v>
      </c>
      <c r="D10" s="43">
        <f t="shared" si="1"/>
        <v>87.851</v>
      </c>
      <c r="E10" s="43">
        <f t="shared" si="3"/>
        <v>36.9333281245719</v>
      </c>
      <c r="F10" s="43">
        <f t="shared" si="2"/>
        <v>95.77871035013858</v>
      </c>
      <c r="G10" s="43">
        <f t="shared" si="0"/>
        <v>1091.0566619447993</v>
      </c>
      <c r="H10" s="4">
        <v>20.15</v>
      </c>
    </row>
    <row r="11" spans="1:8" ht="12.75">
      <c r="A11" s="12">
        <v>20</v>
      </c>
      <c r="B11" s="4">
        <v>105</v>
      </c>
      <c r="C11" s="4">
        <v>24.379</v>
      </c>
      <c r="D11" s="43">
        <f t="shared" si="1"/>
        <v>89.621</v>
      </c>
      <c r="E11" s="43">
        <f t="shared" si="3"/>
        <v>36.96422123655118</v>
      </c>
      <c r="F11" s="43">
        <f t="shared" si="2"/>
        <v>97.78921240309108</v>
      </c>
      <c r="G11" s="43">
        <f t="shared" si="0"/>
        <v>1073.738068031326</v>
      </c>
      <c r="H11" s="4">
        <v>20.249</v>
      </c>
    </row>
    <row r="12" spans="1:8" ht="12.75">
      <c r="A12" s="12">
        <v>20</v>
      </c>
      <c r="B12" s="4">
        <v>94</v>
      </c>
      <c r="C12" s="4">
        <v>35.167</v>
      </c>
      <c r="D12" s="43">
        <f t="shared" si="1"/>
        <v>78.833</v>
      </c>
      <c r="E12" s="43">
        <f t="shared" si="3"/>
        <v>36.775930337097776</v>
      </c>
      <c r="F12" s="43">
        <f t="shared" si="2"/>
        <v>85.58552380417089</v>
      </c>
      <c r="G12" s="43">
        <f t="shared" si="0"/>
        <v>1098.316582312242</v>
      </c>
      <c r="H12" s="4">
        <v>20.301</v>
      </c>
    </row>
    <row r="13" spans="1:8" ht="12.75">
      <c r="A13" s="12">
        <v>20</v>
      </c>
      <c r="B13" s="4">
        <v>101.3</v>
      </c>
      <c r="C13" s="4">
        <v>29.419</v>
      </c>
      <c r="D13" s="43">
        <f t="shared" si="1"/>
        <v>84.581</v>
      </c>
      <c r="E13" s="43">
        <f t="shared" si="3"/>
        <v>36.87625440922034</v>
      </c>
      <c r="F13" s="43">
        <f t="shared" si="2"/>
        <v>92.07289640250063</v>
      </c>
      <c r="G13" s="43">
        <f t="shared" si="0"/>
        <v>1100.2151985874614</v>
      </c>
      <c r="H13" s="4">
        <v>20.157</v>
      </c>
    </row>
    <row r="14" spans="1:8" ht="12.75">
      <c r="A14" s="5">
        <v>50</v>
      </c>
      <c r="B14" s="4">
        <v>99.6</v>
      </c>
      <c r="C14" s="4">
        <v>34.872</v>
      </c>
      <c r="D14" s="43">
        <f t="shared" si="1"/>
        <v>79.128</v>
      </c>
      <c r="E14" s="43">
        <f t="shared" si="3"/>
        <v>36.78107918909432</v>
      </c>
      <c r="F14" s="43">
        <f t="shared" si="2"/>
        <v>85.91764254520189</v>
      </c>
      <c r="G14" s="43">
        <f t="shared" si="0"/>
        <v>1159.2496843427673</v>
      </c>
      <c r="H14" s="4">
        <v>50.448</v>
      </c>
    </row>
    <row r="15" spans="1:8" ht="12.75">
      <c r="A15" s="5">
        <v>50</v>
      </c>
      <c r="B15" s="4">
        <v>98.3</v>
      </c>
      <c r="C15" s="4">
        <v>35.608</v>
      </c>
      <c r="D15" s="43">
        <f t="shared" si="1"/>
        <v>78.392</v>
      </c>
      <c r="E15" s="43">
        <f t="shared" si="3"/>
        <v>36.768233239706326</v>
      </c>
      <c r="F15" s="43">
        <f t="shared" si="2"/>
        <v>85.08920123471651</v>
      </c>
      <c r="G15" s="43">
        <f t="shared" si="0"/>
        <v>1155.2582298762193</v>
      </c>
      <c r="H15" s="4">
        <v>50.387</v>
      </c>
    </row>
    <row r="16" spans="1:8" ht="12.75">
      <c r="A16" s="5">
        <v>50</v>
      </c>
      <c r="B16" s="4">
        <v>98</v>
      </c>
      <c r="C16" s="4">
        <v>36.923</v>
      </c>
      <c r="D16" s="43">
        <f t="shared" si="1"/>
        <v>77.077</v>
      </c>
      <c r="E16" s="43">
        <f t="shared" si="3"/>
        <v>36.74528157741663</v>
      </c>
      <c r="F16" s="43">
        <f t="shared" si="2"/>
        <v>83.61042342213358</v>
      </c>
      <c r="G16" s="43">
        <f t="shared" si="0"/>
        <v>1172.1026636262336</v>
      </c>
      <c r="H16" s="4">
        <v>50.495</v>
      </c>
    </row>
    <row r="17" spans="1:8" ht="12.75">
      <c r="A17" s="5">
        <v>50</v>
      </c>
      <c r="B17" s="4">
        <v>97.4</v>
      </c>
      <c r="C17" s="4">
        <v>36.506</v>
      </c>
      <c r="D17" s="43">
        <f t="shared" si="1"/>
        <v>77.494</v>
      </c>
      <c r="E17" s="43">
        <f t="shared" si="3"/>
        <v>36.75255978515412</v>
      </c>
      <c r="F17" s="43">
        <f t="shared" si="2"/>
        <v>84.07916670738057</v>
      </c>
      <c r="G17" s="43">
        <f t="shared" si="0"/>
        <v>1158.4320327409966</v>
      </c>
      <c r="H17" s="4">
        <v>50.388</v>
      </c>
    </row>
    <row r="18" spans="1:8" ht="12.75">
      <c r="A18" s="5">
        <v>50</v>
      </c>
      <c r="B18" s="4">
        <v>101.6</v>
      </c>
      <c r="C18" s="4">
        <v>34.662</v>
      </c>
      <c r="D18" s="43">
        <f t="shared" si="1"/>
        <v>79.338</v>
      </c>
      <c r="E18" s="43">
        <f t="shared" si="3"/>
        <v>36.78474447356644</v>
      </c>
      <c r="F18" s="43">
        <f t="shared" si="2"/>
        <v>86.15412056387919</v>
      </c>
      <c r="G18" s="43">
        <f t="shared" si="0"/>
        <v>1179.2819581353444</v>
      </c>
      <c r="H18" s="4">
        <v>50.566</v>
      </c>
    </row>
    <row r="19" spans="1:8" ht="12.75">
      <c r="A19" s="5">
        <v>80</v>
      </c>
      <c r="B19" s="4">
        <v>112</v>
      </c>
      <c r="C19" s="4">
        <v>27.532</v>
      </c>
      <c r="D19" s="43">
        <f t="shared" si="1"/>
        <v>86.468</v>
      </c>
      <c r="E19" s="43">
        <f t="shared" si="3"/>
        <v>36.90918960826266</v>
      </c>
      <c r="F19" s="43">
        <f t="shared" si="2"/>
        <v>94.21004318721519</v>
      </c>
      <c r="G19" s="43">
        <f t="shared" si="0"/>
        <v>1188.8329121920942</v>
      </c>
      <c r="H19" s="4">
        <v>80.625</v>
      </c>
    </row>
    <row r="20" spans="1:8" ht="12.75">
      <c r="A20" s="5">
        <v>80</v>
      </c>
      <c r="B20" s="4">
        <v>103.7</v>
      </c>
      <c r="C20" s="4">
        <v>34.718</v>
      </c>
      <c r="D20" s="43">
        <f t="shared" si="1"/>
        <v>79.282</v>
      </c>
      <c r="E20" s="43">
        <f t="shared" si="3"/>
        <v>36.783767064373876</v>
      </c>
      <c r="F20" s="43">
        <f t="shared" si="2"/>
        <v>86.09105532598296</v>
      </c>
      <c r="G20" s="43">
        <f t="shared" si="0"/>
        <v>1204.5386086549984</v>
      </c>
      <c r="H20" s="4">
        <v>80.919</v>
      </c>
    </row>
    <row r="21" spans="1:8" ht="12.75">
      <c r="A21" s="5">
        <v>80</v>
      </c>
      <c r="B21" s="4">
        <v>95.4</v>
      </c>
      <c r="C21" s="4">
        <v>40.729</v>
      </c>
      <c r="D21" s="43">
        <f t="shared" si="1"/>
        <v>73.271</v>
      </c>
      <c r="E21" s="43">
        <f t="shared" si="3"/>
        <v>36.67885265979337</v>
      </c>
      <c r="F21" s="43">
        <f t="shared" si="2"/>
        <v>79.34040640075021</v>
      </c>
      <c r="G21" s="43">
        <f t="shared" si="0"/>
        <v>1202.4138056229813</v>
      </c>
      <c r="H21" s="4">
        <v>80.752</v>
      </c>
    </row>
    <row r="22" spans="1:8" ht="12.75">
      <c r="A22" s="5">
        <v>80</v>
      </c>
      <c r="B22" s="4">
        <v>103.1</v>
      </c>
      <c r="C22" s="4">
        <v>34.286</v>
      </c>
      <c r="D22" s="43">
        <f t="shared" si="1"/>
        <v>79.714</v>
      </c>
      <c r="E22" s="43">
        <f t="shared" si="3"/>
        <v>36.79130707814509</v>
      </c>
      <c r="F22" s="43">
        <f t="shared" si="2"/>
        <v>86.57764209077182</v>
      </c>
      <c r="G22" s="43">
        <f t="shared" si="0"/>
        <v>1190.8386219609147</v>
      </c>
      <c r="H22" s="4">
        <v>80.931</v>
      </c>
    </row>
    <row r="23" spans="1:8" ht="12.75">
      <c r="A23" s="5">
        <v>80</v>
      </c>
      <c r="B23" s="4">
        <v>107.1</v>
      </c>
      <c r="C23" s="4">
        <v>31.463</v>
      </c>
      <c r="D23" s="43">
        <f t="shared" si="1"/>
        <v>82.537</v>
      </c>
      <c r="E23" s="43">
        <f t="shared" si="3"/>
        <v>36.84057897369171</v>
      </c>
      <c r="F23" s="43">
        <f t="shared" si="2"/>
        <v>89.76207747602632</v>
      </c>
      <c r="G23" s="43">
        <f t="shared" si="0"/>
        <v>1193.1542028826627</v>
      </c>
      <c r="H23" s="4">
        <v>80.675</v>
      </c>
    </row>
    <row r="24" spans="1:8" ht="12.75">
      <c r="A24" s="5">
        <v>100</v>
      </c>
      <c r="B24" s="4">
        <v>100</v>
      </c>
      <c r="C24" s="4">
        <v>37.729</v>
      </c>
      <c r="D24" s="43">
        <f t="shared" si="1"/>
        <v>76.271</v>
      </c>
      <c r="E24" s="43">
        <f t="shared" si="3"/>
        <v>36.73121386653793</v>
      </c>
      <c r="F24" s="43">
        <f t="shared" si="2"/>
        <v>82.704917368131</v>
      </c>
      <c r="G24" s="43">
        <f t="shared" si="0"/>
        <v>1209.117948270067</v>
      </c>
      <c r="H24" s="4">
        <v>100.631</v>
      </c>
    </row>
    <row r="25" spans="1:8" ht="12.75">
      <c r="A25" s="5">
        <v>100</v>
      </c>
      <c r="B25" s="4">
        <v>95.5</v>
      </c>
      <c r="C25" s="4">
        <v>40.539</v>
      </c>
      <c r="D25" s="43">
        <f t="shared" si="1"/>
        <v>73.461</v>
      </c>
      <c r="E25" s="43">
        <f t="shared" si="3"/>
        <v>36.68216886955386</v>
      </c>
      <c r="F25" s="43">
        <f t="shared" si="2"/>
        <v>79.55321828715583</v>
      </c>
      <c r="G25" s="43">
        <f t="shared" si="0"/>
        <v>1200.4542626456991</v>
      </c>
      <c r="H25" s="4">
        <v>100.978</v>
      </c>
    </row>
    <row r="26" spans="1:8" ht="12.75">
      <c r="A26" s="5">
        <v>100</v>
      </c>
      <c r="B26" s="4">
        <v>116</v>
      </c>
      <c r="C26" s="4">
        <v>26.666</v>
      </c>
      <c r="D26" s="43">
        <f t="shared" si="1"/>
        <v>87.334</v>
      </c>
      <c r="E26" s="43">
        <f t="shared" si="3"/>
        <v>36.92430454327626</v>
      </c>
      <c r="F26" s="43">
        <f t="shared" si="2"/>
        <v>95.19207232802663</v>
      </c>
      <c r="G26" s="43">
        <f t="shared" si="0"/>
        <v>1218.588871563489</v>
      </c>
      <c r="H26" s="4">
        <v>100.761</v>
      </c>
    </row>
    <row r="27" spans="1:8" ht="12.75">
      <c r="A27" s="5">
        <v>100</v>
      </c>
      <c r="B27" s="4">
        <v>110.1</v>
      </c>
      <c r="C27" s="4">
        <v>33.144</v>
      </c>
      <c r="D27" s="43">
        <f t="shared" si="1"/>
        <v>80.856</v>
      </c>
      <c r="E27" s="43">
        <f t="shared" si="3"/>
        <v>36.811239244179184</v>
      </c>
      <c r="F27" s="43">
        <f t="shared" si="2"/>
        <v>87.86486747237063</v>
      </c>
      <c r="G27" s="43">
        <f t="shared" si="0"/>
        <v>1253.0605595532397</v>
      </c>
      <c r="H27" s="4">
        <v>100.581</v>
      </c>
    </row>
    <row r="28" spans="1:8" ht="12.75">
      <c r="A28" s="5">
        <v>100</v>
      </c>
      <c r="B28" s="4">
        <v>100.1</v>
      </c>
      <c r="C28" s="4">
        <v>38.921</v>
      </c>
      <c r="D28" s="43">
        <f t="shared" si="1"/>
        <v>75.07900000000001</v>
      </c>
      <c r="E28" s="43">
        <f t="shared" si="3"/>
        <v>36.71040901372476</v>
      </c>
      <c r="F28" s="43">
        <f t="shared" si="2"/>
        <v>81.36697948073788</v>
      </c>
      <c r="G28" s="43">
        <f t="shared" si="0"/>
        <v>1230.228781242848</v>
      </c>
      <c r="H28" s="4">
        <v>100.733</v>
      </c>
    </row>
    <row r="29" spans="1:8" ht="12.75">
      <c r="A29" s="5">
        <v>125</v>
      </c>
      <c r="B29" s="4">
        <v>101.8</v>
      </c>
      <c r="C29" s="4">
        <v>40.424</v>
      </c>
      <c r="D29" s="43">
        <f t="shared" si="1"/>
        <v>73.576</v>
      </c>
      <c r="E29" s="43">
        <f t="shared" si="3"/>
        <v>36.684176049145734</v>
      </c>
      <c r="F29" s="43">
        <f t="shared" si="2"/>
        <v>79.68204346207905</v>
      </c>
      <c r="G29" s="43">
        <f t="shared" si="0"/>
        <v>1277.5776771895535</v>
      </c>
      <c r="H29" s="4">
        <v>126.058</v>
      </c>
    </row>
    <row r="30" spans="1:8" ht="12.75">
      <c r="A30" s="5">
        <v>125</v>
      </c>
      <c r="B30" s="4">
        <v>95.6</v>
      </c>
      <c r="C30" s="4">
        <v>42.464</v>
      </c>
      <c r="D30" s="43">
        <f t="shared" si="1"/>
        <v>71.536</v>
      </c>
      <c r="E30" s="43">
        <f t="shared" si="3"/>
        <v>36.64857042855944</v>
      </c>
      <c r="F30" s="43">
        <f t="shared" si="2"/>
        <v>77.39880943826046</v>
      </c>
      <c r="G30" s="43">
        <f t="shared" si="0"/>
        <v>1235.161118030611</v>
      </c>
      <c r="H30" s="4">
        <v>125.758</v>
      </c>
    </row>
    <row r="31" spans="1:8" ht="12.75">
      <c r="A31" s="5">
        <v>125</v>
      </c>
      <c r="B31" s="4">
        <v>105.4</v>
      </c>
      <c r="C31" s="4">
        <v>35.367</v>
      </c>
      <c r="D31" s="43">
        <f t="shared" si="1"/>
        <v>78.63300000000001</v>
      </c>
      <c r="E31" s="43">
        <f t="shared" si="3"/>
        <v>36.772439589981474</v>
      </c>
      <c r="F31" s="43">
        <f t="shared" si="2"/>
        <v>85.36040943496921</v>
      </c>
      <c r="G31" s="43">
        <f t="shared" si="0"/>
        <v>1234.7644616243049</v>
      </c>
      <c r="H31" s="4">
        <v>126.459</v>
      </c>
    </row>
    <row r="32" spans="1:8" ht="12.75">
      <c r="A32" s="5">
        <v>125</v>
      </c>
      <c r="B32" s="4">
        <v>105.2</v>
      </c>
      <c r="C32" s="4">
        <v>34.584</v>
      </c>
      <c r="D32" s="43">
        <f t="shared" si="1"/>
        <v>79.416</v>
      </c>
      <c r="E32" s="43">
        <f t="shared" si="3"/>
        <v>36.786105864941796</v>
      </c>
      <c r="F32" s="43">
        <f t="shared" si="2"/>
        <v>86.24196680373451</v>
      </c>
      <c r="G32" s="43">
        <f t="shared" si="0"/>
        <v>1219.8237574916318</v>
      </c>
      <c r="H32" s="4">
        <v>125.556</v>
      </c>
    </row>
    <row r="33" spans="1:8" ht="12.75">
      <c r="A33" s="5">
        <v>125</v>
      </c>
      <c r="B33" s="4">
        <v>97.5</v>
      </c>
      <c r="C33" s="4">
        <v>39.747</v>
      </c>
      <c r="D33" s="43">
        <f t="shared" si="1"/>
        <v>74.253</v>
      </c>
      <c r="E33" s="43">
        <f t="shared" si="3"/>
        <v>36.69599222813442</v>
      </c>
      <c r="F33" s="43">
        <f t="shared" si="2"/>
        <v>80.44070657207727</v>
      </c>
      <c r="G33" s="43">
        <f t="shared" si="0"/>
        <v>1212.0728938729185</v>
      </c>
      <c r="H33" s="4">
        <v>126.228</v>
      </c>
    </row>
    <row r="34" spans="1:8" ht="12.75">
      <c r="A34" s="5">
        <v>150</v>
      </c>
      <c r="B34" s="4">
        <v>103.7</v>
      </c>
      <c r="C34" s="4">
        <v>36.718</v>
      </c>
      <c r="D34" s="43">
        <f t="shared" si="1"/>
        <v>77.282</v>
      </c>
      <c r="E34" s="43">
        <f t="shared" si="3"/>
        <v>36.74885959321084</v>
      </c>
      <c r="F34" s="43">
        <f t="shared" si="2"/>
        <v>83.84083844967489</v>
      </c>
      <c r="G34" s="43">
        <f t="shared" si="0"/>
        <v>1236.8674015855113</v>
      </c>
      <c r="H34" s="4">
        <v>150.918</v>
      </c>
    </row>
    <row r="35" spans="1:8" ht="12.75">
      <c r="A35" s="5">
        <v>150</v>
      </c>
      <c r="B35" s="4">
        <v>98.3</v>
      </c>
      <c r="C35" s="4">
        <v>40.963</v>
      </c>
      <c r="D35" s="43">
        <f t="shared" si="1"/>
        <v>73.037</v>
      </c>
      <c r="E35" s="43">
        <f t="shared" si="3"/>
        <v>36.6747684856673</v>
      </c>
      <c r="F35" s="43">
        <f t="shared" si="2"/>
        <v>79.07836261860237</v>
      </c>
      <c r="G35" s="43">
        <f t="shared" si="0"/>
        <v>1243.0707559551308</v>
      </c>
      <c r="H35" s="4">
        <v>151.074</v>
      </c>
    </row>
    <row r="36" spans="1:8" ht="12.75">
      <c r="A36" s="5">
        <v>150</v>
      </c>
      <c r="B36" s="4">
        <v>108.4</v>
      </c>
      <c r="C36" s="4">
        <v>35.434</v>
      </c>
      <c r="D36" s="43">
        <f t="shared" si="1"/>
        <v>78.566</v>
      </c>
      <c r="E36" s="43">
        <f t="shared" si="3"/>
        <v>36.77127018969751</v>
      </c>
      <c r="F36" s="43">
        <f t="shared" si="2"/>
        <v>85.2850053141582</v>
      </c>
      <c r="G36" s="43">
        <f t="shared" si="0"/>
        <v>1271.032341508273</v>
      </c>
      <c r="H36" s="4">
        <v>150.963</v>
      </c>
    </row>
    <row r="37" spans="1:8" ht="12.75">
      <c r="A37" s="5">
        <v>150</v>
      </c>
      <c r="B37" s="4">
        <v>101.3</v>
      </c>
      <c r="C37" s="4">
        <v>40.116</v>
      </c>
      <c r="D37" s="43">
        <f t="shared" si="1"/>
        <v>73.884</v>
      </c>
      <c r="E37" s="43">
        <f t="shared" si="3"/>
        <v>36.689551799704844</v>
      </c>
      <c r="F37" s="43">
        <f t="shared" si="2"/>
        <v>80.02713768102765</v>
      </c>
      <c r="G37" s="43">
        <f t="shared" si="0"/>
        <v>1265.820607051595</v>
      </c>
      <c r="H37" s="4">
        <v>151.698</v>
      </c>
    </row>
    <row r="38" spans="1:8" ht="12.75">
      <c r="A38" s="5">
        <v>150</v>
      </c>
      <c r="B38" s="4">
        <v>98.2</v>
      </c>
      <c r="C38" s="4">
        <v>40.698</v>
      </c>
      <c r="D38" s="43">
        <f t="shared" si="1"/>
        <v>73.30199999999999</v>
      </c>
      <c r="E38" s="43">
        <f t="shared" si="3"/>
        <v>36.6793937255964</v>
      </c>
      <c r="F38" s="43">
        <f t="shared" si="2"/>
        <v>79.37512581346235</v>
      </c>
      <c r="G38" s="43">
        <f t="shared" si="0"/>
        <v>1237.1633933630235</v>
      </c>
      <c r="H38" s="4">
        <v>151.704</v>
      </c>
    </row>
    <row r="39" spans="1:8" ht="12.75">
      <c r="A39" s="5">
        <v>200</v>
      </c>
      <c r="B39" s="4">
        <v>105.3</v>
      </c>
      <c r="C39" s="4">
        <v>38.455</v>
      </c>
      <c r="D39" s="43">
        <f t="shared" si="1"/>
        <v>75.545</v>
      </c>
      <c r="E39" s="43">
        <f t="shared" si="3"/>
        <v>36.718542454505744</v>
      </c>
      <c r="F39" s="43">
        <f t="shared" si="2"/>
        <v>81.889858770882</v>
      </c>
      <c r="G39" s="43">
        <f t="shared" si="0"/>
        <v>1285.8735083988454</v>
      </c>
      <c r="H39" s="4">
        <v>201.793</v>
      </c>
    </row>
    <row r="40" spans="1:8" ht="12.75">
      <c r="A40" s="5">
        <v>200</v>
      </c>
      <c r="B40" s="4">
        <v>105.7</v>
      </c>
      <c r="C40" s="4">
        <v>38.395</v>
      </c>
      <c r="D40" s="43">
        <f t="shared" si="1"/>
        <v>75.60499999999999</v>
      </c>
      <c r="E40" s="43">
        <f t="shared" si="3"/>
        <v>36.71958967864064</v>
      </c>
      <c r="F40" s="43">
        <f t="shared" si="2"/>
        <v>81.9571984781531</v>
      </c>
      <c r="G40" s="43">
        <f t="shared" si="0"/>
        <v>1289.697573400778</v>
      </c>
      <c r="H40" s="4">
        <v>201.233</v>
      </c>
    </row>
    <row r="41" spans="1:8" ht="12.75">
      <c r="A41" s="5">
        <v>200</v>
      </c>
      <c r="B41" s="4">
        <v>105.4</v>
      </c>
      <c r="C41" s="4">
        <v>39.656</v>
      </c>
      <c r="D41" s="43">
        <f t="shared" si="1"/>
        <v>74.344</v>
      </c>
      <c r="E41" s="43">
        <f t="shared" si="3"/>
        <v>36.69758051807234</v>
      </c>
      <c r="F41" s="43">
        <f t="shared" si="2"/>
        <v>80.54271928218093</v>
      </c>
      <c r="G41" s="43">
        <f t="shared" si="0"/>
        <v>1308.6223179370409</v>
      </c>
      <c r="H41" s="4">
        <v>201.559</v>
      </c>
    </row>
    <row r="42" spans="1:8" ht="12.75">
      <c r="A42" s="5">
        <v>200</v>
      </c>
      <c r="B42" s="4">
        <v>106.7</v>
      </c>
      <c r="C42" s="4">
        <v>38.73</v>
      </c>
      <c r="D42" s="43">
        <f t="shared" si="1"/>
        <v>75.27000000000001</v>
      </c>
      <c r="E42" s="43">
        <f t="shared" si="3"/>
        <v>36.71374267722083</v>
      </c>
      <c r="F42" s="43">
        <f t="shared" si="2"/>
        <v>81.58126571687076</v>
      </c>
      <c r="G42" s="43">
        <f t="shared" si="0"/>
        <v>1307.898315408641</v>
      </c>
      <c r="H42" s="4">
        <v>201.845</v>
      </c>
    </row>
    <row r="43" spans="1:8" ht="12.75">
      <c r="A43" s="5">
        <v>200</v>
      </c>
      <c r="B43" s="4">
        <v>101.5</v>
      </c>
      <c r="C43" s="4">
        <v>42.402</v>
      </c>
      <c r="D43" s="43">
        <f t="shared" si="1"/>
        <v>71.598</v>
      </c>
      <c r="E43" s="43">
        <f t="shared" si="3"/>
        <v>36.64965256016549</v>
      </c>
      <c r="F43" s="43">
        <f t="shared" si="2"/>
        <v>77.46813901306776</v>
      </c>
      <c r="G43" s="43">
        <f t="shared" si="0"/>
        <v>1310.216061636364</v>
      </c>
      <c r="H43" s="4">
        <v>201.812</v>
      </c>
    </row>
    <row r="44" spans="1:8" ht="12.75">
      <c r="A44" s="5">
        <v>300</v>
      </c>
      <c r="B44" s="4">
        <v>106.3</v>
      </c>
      <c r="C44" s="4">
        <v>40.178</v>
      </c>
      <c r="D44" s="43">
        <f t="shared" si="1"/>
        <v>73.822</v>
      </c>
      <c r="E44" s="43">
        <f t="shared" si="3"/>
        <v>36.68846966809879</v>
      </c>
      <c r="F44" s="43">
        <f t="shared" si="2"/>
        <v>79.95766284310088</v>
      </c>
      <c r="G44" s="43">
        <f t="shared" si="0"/>
        <v>1329.4535660527008</v>
      </c>
      <c r="H44" s="4">
        <v>301.131</v>
      </c>
    </row>
    <row r="45" spans="1:8" ht="12.75">
      <c r="A45" s="5">
        <v>300</v>
      </c>
      <c r="B45" s="4">
        <v>96.8</v>
      </c>
      <c r="C45" s="4">
        <v>47.189</v>
      </c>
      <c r="D45" s="43">
        <f t="shared" si="1"/>
        <v>66.811</v>
      </c>
      <c r="E45" s="43">
        <f t="shared" si="3"/>
        <v>36.566101527936766</v>
      </c>
      <c r="F45" s="43">
        <f t="shared" si="2"/>
        <v>72.12680119696064</v>
      </c>
      <c r="G45" s="43">
        <f t="shared" si="0"/>
        <v>1342.0808686033765</v>
      </c>
      <c r="H45" s="4">
        <v>303.154</v>
      </c>
    </row>
    <row r="46" spans="1:8" ht="12.75">
      <c r="A46" s="5">
        <v>300</v>
      </c>
      <c r="B46" s="4">
        <v>106.5</v>
      </c>
      <c r="C46" s="4">
        <v>40.263</v>
      </c>
      <c r="D46" s="43">
        <f t="shared" si="1"/>
        <v>73.737</v>
      </c>
      <c r="E46" s="43">
        <f t="shared" si="3"/>
        <v>36.68698610057436</v>
      </c>
      <c r="F46" s="43">
        <f t="shared" si="2"/>
        <v>79.86242148787743</v>
      </c>
      <c r="G46" s="43">
        <f t="shared" si="0"/>
        <v>1333.5433363508264</v>
      </c>
      <c r="H46" s="4">
        <v>303.762</v>
      </c>
    </row>
    <row r="47" spans="1:8" ht="12.75">
      <c r="A47" s="5">
        <v>300</v>
      </c>
      <c r="B47" s="4">
        <v>94.6</v>
      </c>
      <c r="C47" s="4">
        <v>45.405</v>
      </c>
      <c r="D47" s="43">
        <f t="shared" si="1"/>
        <v>68.595</v>
      </c>
      <c r="E47" s="43">
        <f t="shared" si="3"/>
        <v>36.597238992214194</v>
      </c>
      <c r="F47" s="43">
        <f t="shared" si="2"/>
        <v>74.11464893415517</v>
      </c>
      <c r="G47" s="43">
        <f t="shared" si="0"/>
        <v>1276.4008378970316</v>
      </c>
      <c r="H47" s="4">
        <v>301.624</v>
      </c>
    </row>
    <row r="48" spans="1:8" ht="12.75">
      <c r="A48" s="5">
        <v>300</v>
      </c>
      <c r="B48" s="4">
        <v>109.4</v>
      </c>
      <c r="C48" s="4">
        <v>37.771</v>
      </c>
      <c r="D48" s="43">
        <f t="shared" si="1"/>
        <v>76.229</v>
      </c>
      <c r="E48" s="43">
        <f t="shared" si="3"/>
        <v>36.7304808096435</v>
      </c>
      <c r="F48" s="43">
        <f t="shared" si="2"/>
        <v>82.65775047330628</v>
      </c>
      <c r="G48" s="43">
        <f t="shared" si="0"/>
        <v>1323.5298489683667</v>
      </c>
      <c r="H48" s="4">
        <v>302.53</v>
      </c>
    </row>
    <row r="49" spans="1:8" ht="12.75">
      <c r="A49" s="5">
        <v>450</v>
      </c>
      <c r="B49" s="4">
        <v>103.5</v>
      </c>
      <c r="C49" s="4">
        <v>43.663</v>
      </c>
      <c r="D49" s="43">
        <f t="shared" si="1"/>
        <v>70.337</v>
      </c>
      <c r="E49" s="43">
        <f t="shared" si="3"/>
        <v>36.627643399597204</v>
      </c>
      <c r="F49" s="43">
        <f t="shared" si="2"/>
        <v>76.05883916126908</v>
      </c>
      <c r="G49" s="43">
        <f t="shared" si="0"/>
        <v>1360.7885834353438</v>
      </c>
      <c r="H49" s="4">
        <v>452.389</v>
      </c>
    </row>
    <row r="50" spans="1:8" ht="12.75">
      <c r="A50" s="5">
        <v>450</v>
      </c>
      <c r="B50" s="4">
        <v>100.9</v>
      </c>
      <c r="C50" s="4">
        <v>46.411</v>
      </c>
      <c r="D50" s="43">
        <f t="shared" si="1"/>
        <v>67.589</v>
      </c>
      <c r="E50" s="43">
        <f t="shared" si="3"/>
        <v>36.57968053421919</v>
      </c>
      <c r="F50" s="43">
        <f t="shared" si="2"/>
        <v>72.9932987814441</v>
      </c>
      <c r="G50" s="43">
        <f t="shared" si="0"/>
        <v>1382.318674240411</v>
      </c>
      <c r="H50" s="4">
        <v>453.732</v>
      </c>
    </row>
    <row r="51" spans="1:8" ht="12.75">
      <c r="A51" s="5">
        <v>450</v>
      </c>
      <c r="B51" s="4">
        <v>107.3</v>
      </c>
      <c r="C51" s="4">
        <v>40.31</v>
      </c>
      <c r="D51" s="43">
        <f t="shared" si="1"/>
        <v>73.69</v>
      </c>
      <c r="E51" s="43">
        <f t="shared" si="3"/>
        <v>36.68616577500203</v>
      </c>
      <c r="F51" s="43">
        <f t="shared" si="2"/>
        <v>79.80976180169739</v>
      </c>
      <c r="G51" s="43">
        <f t="shared" si="0"/>
        <v>1344.4470648416088</v>
      </c>
      <c r="H51" s="4">
        <v>452.643</v>
      </c>
    </row>
    <row r="52" spans="1:8" ht="12.75">
      <c r="A52" s="5">
        <v>450</v>
      </c>
      <c r="B52" s="4">
        <v>104</v>
      </c>
      <c r="C52" s="4">
        <v>43.404</v>
      </c>
      <c r="D52" s="43">
        <f t="shared" si="1"/>
        <v>70.596</v>
      </c>
      <c r="E52" s="43">
        <f t="shared" si="3"/>
        <v>36.63216391711281</v>
      </c>
      <c r="F52" s="43">
        <f t="shared" si="2"/>
        <v>76.34816596934371</v>
      </c>
      <c r="G52" s="43">
        <f t="shared" si="0"/>
        <v>1362.1807240498665</v>
      </c>
      <c r="H52" s="4">
        <v>451.691</v>
      </c>
    </row>
    <row r="53" spans="1:8" ht="12.75">
      <c r="A53" s="5">
        <v>450</v>
      </c>
      <c r="B53" s="4">
        <v>105.7</v>
      </c>
      <c r="C53" s="4">
        <v>43.019</v>
      </c>
      <c r="D53" s="43">
        <f t="shared" si="1"/>
        <v>70.981</v>
      </c>
      <c r="E53" s="43">
        <f t="shared" si="3"/>
        <v>36.6388836053117</v>
      </c>
      <c r="F53" s="43">
        <f t="shared" si="2"/>
        <v>76.77837329546871</v>
      </c>
      <c r="G53" s="43">
        <f t="shared" si="0"/>
        <v>1376.6897560232392</v>
      </c>
      <c r="H53" s="4">
        <v>453.359</v>
      </c>
    </row>
    <row r="54" spans="4:7" ht="12.75">
      <c r="D54" s="44"/>
      <c r="E54" s="44"/>
      <c r="F54" s="45"/>
      <c r="G54" s="45"/>
    </row>
    <row r="55" spans="4:7" ht="12.75">
      <c r="D55" s="44"/>
      <c r="E55" s="44"/>
      <c r="F55" s="45"/>
      <c r="G55" s="45"/>
    </row>
    <row r="56" ht="15.75">
      <c r="A56" s="1" t="s">
        <v>58</v>
      </c>
    </row>
    <row r="57" spans="4:7" ht="12.75">
      <c r="D57" s="44"/>
      <c r="E57" s="44"/>
      <c r="F57" s="45"/>
      <c r="G57" s="45"/>
    </row>
    <row r="58" spans="1:8" ht="12.75">
      <c r="A58" s="5">
        <v>5</v>
      </c>
      <c r="B58" s="4">
        <v>112.2</v>
      </c>
      <c r="C58" s="4">
        <v>14.692</v>
      </c>
      <c r="D58" s="43">
        <f t="shared" si="1"/>
        <v>99.30799999999999</v>
      </c>
      <c r="E58" s="43">
        <f t="shared" si="3"/>
        <v>37.133295573129345</v>
      </c>
      <c r="F58" s="43">
        <f t="shared" si="2"/>
        <v>108.84984497858409</v>
      </c>
      <c r="G58" s="43">
        <f t="shared" si="0"/>
        <v>1030.77776566494</v>
      </c>
      <c r="H58" s="4">
        <v>5.088</v>
      </c>
    </row>
    <row r="59" spans="1:8" ht="12.75">
      <c r="A59" s="5">
        <v>5</v>
      </c>
      <c r="B59" s="4">
        <v>109.7</v>
      </c>
      <c r="C59" s="4">
        <v>16.67</v>
      </c>
      <c r="D59" s="43">
        <f t="shared" si="1"/>
        <v>97.33</v>
      </c>
      <c r="E59" s="43">
        <f t="shared" si="3"/>
        <v>37.098772084149104</v>
      </c>
      <c r="F59" s="43">
        <f t="shared" si="2"/>
        <v>106.58346435597119</v>
      </c>
      <c r="G59" s="43">
        <f t="shared" si="0"/>
        <v>1029.2403297534042</v>
      </c>
      <c r="H59" s="4">
        <v>5.146</v>
      </c>
    </row>
    <row r="60" spans="1:8" ht="12.75">
      <c r="A60" s="5">
        <v>5</v>
      </c>
      <c r="B60" s="4">
        <v>105.8</v>
      </c>
      <c r="C60" s="4">
        <v>18.629</v>
      </c>
      <c r="D60" s="43">
        <f t="shared" si="1"/>
        <v>95.371</v>
      </c>
      <c r="E60" s="43">
        <f t="shared" si="3"/>
        <v>37.06458021614491</v>
      </c>
      <c r="F60" s="43">
        <f t="shared" si="2"/>
        <v>104.34285160749076</v>
      </c>
      <c r="G60" s="43">
        <f t="shared" si="0"/>
        <v>1013.9650045025666</v>
      </c>
      <c r="H60" s="4">
        <v>5.044</v>
      </c>
    </row>
    <row r="61" spans="1:8" ht="12.75">
      <c r="A61" s="5">
        <v>5</v>
      </c>
      <c r="B61" s="4">
        <v>107</v>
      </c>
      <c r="C61" s="4">
        <v>16.513</v>
      </c>
      <c r="D61" s="43">
        <f t="shared" si="1"/>
        <v>97.487</v>
      </c>
      <c r="E61" s="43">
        <f t="shared" si="3"/>
        <v>37.1015123206354</v>
      </c>
      <c r="F61" s="43">
        <f t="shared" si="2"/>
        <v>106.76320577934798</v>
      </c>
      <c r="G61" s="43">
        <f t="shared" si="0"/>
        <v>1002.2179384641316</v>
      </c>
      <c r="H61" s="4">
        <v>5.107</v>
      </c>
    </row>
    <row r="62" spans="1:8" ht="12.75">
      <c r="A62" s="5">
        <v>5</v>
      </c>
      <c r="B62" s="4">
        <v>106</v>
      </c>
      <c r="C62" s="4">
        <v>19</v>
      </c>
      <c r="D62" s="43">
        <f t="shared" si="1"/>
        <v>95</v>
      </c>
      <c r="E62" s="43">
        <f t="shared" si="3"/>
        <v>37.058104880244166</v>
      </c>
      <c r="F62" s="43">
        <f t="shared" si="2"/>
        <v>103.91896690386051</v>
      </c>
      <c r="G62" s="43">
        <f t="shared" si="0"/>
        <v>1020.0255368018115</v>
      </c>
      <c r="H62" s="4">
        <v>5.039</v>
      </c>
    </row>
    <row r="63" spans="1:8" ht="12.75">
      <c r="A63" s="5">
        <v>20</v>
      </c>
      <c r="B63" s="4">
        <v>110</v>
      </c>
      <c r="C63" s="4">
        <v>22.947</v>
      </c>
      <c r="D63" s="43">
        <f t="shared" si="1"/>
        <v>91.053</v>
      </c>
      <c r="E63" s="43">
        <f t="shared" si="3"/>
        <v>36.98921498590392</v>
      </c>
      <c r="F63" s="43">
        <f t="shared" si="2"/>
        <v>99.41815624554386</v>
      </c>
      <c r="G63" s="43">
        <f t="shared" si="0"/>
        <v>1106.4377388806226</v>
      </c>
      <c r="H63" s="4">
        <v>20.216</v>
      </c>
    </row>
    <row r="64" spans="1:8" ht="12.75">
      <c r="A64" s="5">
        <v>20</v>
      </c>
      <c r="B64" s="4">
        <v>111.9</v>
      </c>
      <c r="C64" s="4">
        <v>21.042</v>
      </c>
      <c r="D64" s="43">
        <f t="shared" si="1"/>
        <v>92.958</v>
      </c>
      <c r="E64" s="43">
        <f t="shared" si="3"/>
        <v>37.02246435218671</v>
      </c>
      <c r="F64" s="43">
        <f t="shared" si="2"/>
        <v>101.58843787564079</v>
      </c>
      <c r="G64" s="43">
        <f t="shared" si="0"/>
        <v>1101.5033043128597</v>
      </c>
      <c r="H64" s="4">
        <v>20.353</v>
      </c>
    </row>
    <row r="65" spans="1:8" ht="12.75">
      <c r="A65" s="5">
        <v>20</v>
      </c>
      <c r="B65" s="4">
        <v>110.1</v>
      </c>
      <c r="C65" s="4">
        <v>22.995</v>
      </c>
      <c r="D65" s="43">
        <f t="shared" si="1"/>
        <v>91.005</v>
      </c>
      <c r="E65" s="43">
        <f t="shared" si="3"/>
        <v>36.988377206596006</v>
      </c>
      <c r="F65" s="43">
        <f t="shared" si="2"/>
        <v>99.3635204488532</v>
      </c>
      <c r="G65" s="43">
        <f t="shared" si="0"/>
        <v>1108.0525277551267</v>
      </c>
      <c r="H65" s="4">
        <v>20.282</v>
      </c>
    </row>
    <row r="66" spans="1:8" ht="12.75">
      <c r="A66" s="5">
        <v>20</v>
      </c>
      <c r="B66" s="4">
        <v>107.7</v>
      </c>
      <c r="C66" s="4">
        <v>25.989</v>
      </c>
      <c r="D66" s="43">
        <f t="shared" si="1"/>
        <v>88.011</v>
      </c>
      <c r="E66" s="43">
        <f t="shared" si="3"/>
        <v>36.936120722264945</v>
      </c>
      <c r="F66" s="43">
        <f t="shared" si="2"/>
        <v>95.96031766743884</v>
      </c>
      <c r="G66" s="43">
        <f t="shared" si="0"/>
        <v>1122.3389273600192</v>
      </c>
      <c r="H66" s="4">
        <v>20.498</v>
      </c>
    </row>
    <row r="67" spans="1:8" ht="12.75">
      <c r="A67" s="5">
        <v>20</v>
      </c>
      <c r="B67" s="4">
        <v>107.9</v>
      </c>
      <c r="C67" s="4">
        <v>25.553</v>
      </c>
      <c r="D67" s="43">
        <f t="shared" si="1"/>
        <v>88.447</v>
      </c>
      <c r="E67" s="43">
        <f t="shared" si="3"/>
        <v>36.943730550978486</v>
      </c>
      <c r="F67" s="43">
        <f t="shared" si="2"/>
        <v>96.45533172865443</v>
      </c>
      <c r="G67" s="43">
        <f t="shared" si="0"/>
        <v>1118.652520977704</v>
      </c>
      <c r="H67" s="4">
        <v>20.302</v>
      </c>
    </row>
    <row r="68" spans="1:8" ht="12.75">
      <c r="A68" s="5">
        <v>50</v>
      </c>
      <c r="B68" s="4">
        <v>109.4</v>
      </c>
      <c r="C68" s="4">
        <v>29.056</v>
      </c>
      <c r="D68" s="43">
        <f t="shared" si="1"/>
        <v>84.944</v>
      </c>
      <c r="E68" s="43">
        <f t="shared" si="3"/>
        <v>36.882590115236425</v>
      </c>
      <c r="F68" s="43">
        <f t="shared" si="2"/>
        <v>92.48373168210995</v>
      </c>
      <c r="G68" s="43">
        <f aca="true" t="shared" si="4" ref="G68:G131">(1000*B68)/F68</f>
        <v>1182.9107456004863</v>
      </c>
      <c r="H68" s="4">
        <v>50.553</v>
      </c>
    </row>
    <row r="69" spans="1:8" ht="12.75">
      <c r="A69" s="5">
        <v>50</v>
      </c>
      <c r="B69" s="4">
        <v>108.5</v>
      </c>
      <c r="C69" s="4">
        <v>28.9</v>
      </c>
      <c r="D69" s="43">
        <f aca="true" t="shared" si="5" ref="D69:D132">114-C69</f>
        <v>85.1</v>
      </c>
      <c r="E69" s="43">
        <f t="shared" si="3"/>
        <v>36.88531289798714</v>
      </c>
      <c r="F69" s="43">
        <f aca="true" t="shared" si="6" ref="F69:F132">(((3.14*D69)/12)*(37.6^2+37.6*E69+E69^2))*10^-3</f>
        <v>92.66033071845855</v>
      </c>
      <c r="G69" s="43">
        <f t="shared" si="4"/>
        <v>1170.94337089805</v>
      </c>
      <c r="H69" s="4">
        <v>50.921</v>
      </c>
    </row>
    <row r="70" spans="1:8" ht="12.75">
      <c r="A70" s="5">
        <v>50</v>
      </c>
      <c r="B70" s="4">
        <v>108.8</v>
      </c>
      <c r="C70" s="4">
        <v>29.909</v>
      </c>
      <c r="D70" s="43">
        <f t="shared" si="5"/>
        <v>84.09100000000001</v>
      </c>
      <c r="E70" s="43">
        <f t="shared" si="3"/>
        <v>36.86770207878539</v>
      </c>
      <c r="F70" s="43">
        <f t="shared" si="6"/>
        <v>91.51854073787327</v>
      </c>
      <c r="G70" s="43">
        <f t="shared" si="4"/>
        <v>1188.8301443925352</v>
      </c>
      <c r="H70" s="4">
        <v>50.778</v>
      </c>
    </row>
    <row r="71" spans="1:8" ht="12.75">
      <c r="A71" s="5">
        <v>50</v>
      </c>
      <c r="B71" s="4">
        <v>103.3</v>
      </c>
      <c r="C71" s="4">
        <v>33.841</v>
      </c>
      <c r="D71" s="43">
        <f t="shared" si="5"/>
        <v>80.15899999999999</v>
      </c>
      <c r="E71" s="43">
        <f aca="true" t="shared" si="7" ref="E71:E134">2*(TAN(RADIANS(0.5))*D71+17.7)</f>
        <v>36.79907399047887</v>
      </c>
      <c r="F71" s="43">
        <f t="shared" si="6"/>
        <v>87.07907216094188</v>
      </c>
      <c r="G71" s="43">
        <f t="shared" si="4"/>
        <v>1186.2781428019603</v>
      </c>
      <c r="H71" s="4">
        <v>51.051</v>
      </c>
    </row>
    <row r="72" spans="1:8" ht="12.75">
      <c r="A72" s="5">
        <v>50</v>
      </c>
      <c r="B72" s="4">
        <v>108.6</v>
      </c>
      <c r="C72" s="4">
        <v>29.796</v>
      </c>
      <c r="D72" s="43">
        <f t="shared" si="5"/>
        <v>84.20400000000001</v>
      </c>
      <c r="E72" s="43">
        <f t="shared" si="7"/>
        <v>36.8696743509061</v>
      </c>
      <c r="F72" s="43">
        <f t="shared" si="6"/>
        <v>91.64635999299172</v>
      </c>
      <c r="G72" s="43">
        <f t="shared" si="4"/>
        <v>1184.9897803721253</v>
      </c>
      <c r="H72" s="4">
        <v>50.888</v>
      </c>
    </row>
    <row r="73" spans="1:8" ht="12.75">
      <c r="A73" s="5">
        <v>80</v>
      </c>
      <c r="B73" s="4">
        <v>111.4</v>
      </c>
      <c r="C73" s="4">
        <v>30.089</v>
      </c>
      <c r="D73" s="43">
        <f t="shared" si="5"/>
        <v>83.911</v>
      </c>
      <c r="E73" s="43">
        <f t="shared" si="7"/>
        <v>36.86456040638072</v>
      </c>
      <c r="F73" s="43">
        <f t="shared" si="6"/>
        <v>91.31496201500434</v>
      </c>
      <c r="G73" s="43">
        <f t="shared" si="4"/>
        <v>1219.953417729018</v>
      </c>
      <c r="H73" s="4">
        <v>81.374</v>
      </c>
    </row>
    <row r="74" spans="1:8" ht="12.75">
      <c r="A74" s="5">
        <v>80</v>
      </c>
      <c r="B74" s="4">
        <v>109.5</v>
      </c>
      <c r="C74" s="4">
        <v>31.313</v>
      </c>
      <c r="D74" s="43">
        <f t="shared" si="5"/>
        <v>82.687</v>
      </c>
      <c r="E74" s="43">
        <f t="shared" si="7"/>
        <v>36.84319703402894</v>
      </c>
      <c r="F74" s="43">
        <f t="shared" si="6"/>
        <v>89.93151181495318</v>
      </c>
      <c r="G74" s="43">
        <f t="shared" si="4"/>
        <v>1217.5932305609601</v>
      </c>
      <c r="H74" s="4">
        <v>81.461</v>
      </c>
    </row>
    <row r="75" spans="1:8" ht="12.75">
      <c r="A75" s="5">
        <v>80</v>
      </c>
      <c r="B75" s="4">
        <v>107.2</v>
      </c>
      <c r="C75" s="4">
        <v>33.14</v>
      </c>
      <c r="D75" s="43">
        <f t="shared" si="5"/>
        <v>80.86</v>
      </c>
      <c r="E75" s="43">
        <f t="shared" si="7"/>
        <v>36.81130905912151</v>
      </c>
      <c r="F75" s="43">
        <f t="shared" si="6"/>
        <v>87.86937850032588</v>
      </c>
      <c r="G75" s="43">
        <f t="shared" si="4"/>
        <v>1219.9926963134537</v>
      </c>
      <c r="H75" s="4">
        <v>81.45</v>
      </c>
    </row>
    <row r="76" spans="1:8" ht="12.75">
      <c r="A76" s="5">
        <v>80</v>
      </c>
      <c r="B76" s="4">
        <v>107.6</v>
      </c>
      <c r="C76" s="4">
        <v>33.096</v>
      </c>
      <c r="D76" s="43">
        <f t="shared" si="5"/>
        <v>80.904</v>
      </c>
      <c r="E76" s="43">
        <f t="shared" si="7"/>
        <v>36.8120770234871</v>
      </c>
      <c r="F76" s="43">
        <f t="shared" si="6"/>
        <v>87.91900089426545</v>
      </c>
      <c r="G76" s="43">
        <f t="shared" si="4"/>
        <v>1223.8537620485886</v>
      </c>
      <c r="H76" s="4">
        <v>81.309</v>
      </c>
    </row>
    <row r="77" spans="1:8" ht="12.75">
      <c r="A77" s="5">
        <v>80</v>
      </c>
      <c r="B77" s="4">
        <v>103.2</v>
      </c>
      <c r="C77" s="4">
        <v>35.74</v>
      </c>
      <c r="D77" s="43">
        <f t="shared" si="5"/>
        <v>78.25999999999999</v>
      </c>
      <c r="E77" s="43">
        <f t="shared" si="7"/>
        <v>36.76592934660957</v>
      </c>
      <c r="F77" s="43">
        <f t="shared" si="6"/>
        <v>84.94068096311646</v>
      </c>
      <c r="G77" s="43">
        <f t="shared" si="4"/>
        <v>1214.965536299529</v>
      </c>
      <c r="H77" s="4">
        <v>82.006</v>
      </c>
    </row>
    <row r="78" spans="1:8" ht="12.75">
      <c r="A78" s="5">
        <v>100</v>
      </c>
      <c r="B78" s="13">
        <v>113.8</v>
      </c>
      <c r="C78" s="4">
        <v>31.086</v>
      </c>
      <c r="D78" s="43">
        <f t="shared" si="5"/>
        <v>82.914</v>
      </c>
      <c r="E78" s="43">
        <f t="shared" si="7"/>
        <v>36.84715903200595</v>
      </c>
      <c r="F78" s="43">
        <f t="shared" si="6"/>
        <v>90.18796650812818</v>
      </c>
      <c r="G78" s="43">
        <f t="shared" si="4"/>
        <v>1261.8091349220495</v>
      </c>
      <c r="H78" s="4">
        <v>101.746</v>
      </c>
    </row>
    <row r="79" spans="1:8" ht="12.75">
      <c r="A79" s="5">
        <v>100</v>
      </c>
      <c r="B79" s="13">
        <v>113.3</v>
      </c>
      <c r="C79" s="4">
        <v>32.526</v>
      </c>
      <c r="D79" s="43">
        <f t="shared" si="5"/>
        <v>81.47399999999999</v>
      </c>
      <c r="E79" s="43">
        <f t="shared" si="7"/>
        <v>36.82202565276856</v>
      </c>
      <c r="F79" s="43">
        <f t="shared" si="6"/>
        <v>88.56201650228604</v>
      </c>
      <c r="G79" s="43">
        <f t="shared" si="4"/>
        <v>1279.3294967157326</v>
      </c>
      <c r="H79" s="4">
        <v>101.232</v>
      </c>
    </row>
    <row r="80" spans="1:8" ht="12.75">
      <c r="A80" s="5">
        <v>100</v>
      </c>
      <c r="B80" s="13">
        <v>111.6</v>
      </c>
      <c r="C80" s="4">
        <v>32.566</v>
      </c>
      <c r="D80" s="43">
        <f t="shared" si="5"/>
        <v>81.434</v>
      </c>
      <c r="E80" s="43">
        <f t="shared" si="7"/>
        <v>36.8213275033453</v>
      </c>
      <c r="F80" s="43">
        <f t="shared" si="6"/>
        <v>88.51688169247979</v>
      </c>
      <c r="G80" s="43">
        <f t="shared" si="4"/>
        <v>1260.776451521578</v>
      </c>
      <c r="H80" s="4">
        <v>100.968</v>
      </c>
    </row>
    <row r="81" spans="1:8" ht="12.75">
      <c r="A81" s="5">
        <v>100</v>
      </c>
      <c r="B81" s="13">
        <v>113.3</v>
      </c>
      <c r="C81" s="4">
        <v>31.964</v>
      </c>
      <c r="D81" s="43">
        <f t="shared" si="5"/>
        <v>82.036</v>
      </c>
      <c r="E81" s="43">
        <f t="shared" si="7"/>
        <v>36.83183465216538</v>
      </c>
      <c r="F81" s="43">
        <f t="shared" si="6"/>
        <v>89.1963346797118</v>
      </c>
      <c r="G81" s="43">
        <f t="shared" si="4"/>
        <v>1270.2315673266194</v>
      </c>
      <c r="H81" s="4">
        <v>101.787</v>
      </c>
    </row>
    <row r="82" spans="1:8" ht="12.75">
      <c r="A82" s="5">
        <v>100</v>
      </c>
      <c r="B82" s="13">
        <v>113.3</v>
      </c>
      <c r="C82" s="4">
        <v>32.278</v>
      </c>
      <c r="D82" s="43">
        <f t="shared" si="5"/>
        <v>81.72200000000001</v>
      </c>
      <c r="E82" s="43">
        <f t="shared" si="7"/>
        <v>36.826354179192776</v>
      </c>
      <c r="F82" s="43">
        <f t="shared" si="6"/>
        <v>88.84188907569022</v>
      </c>
      <c r="G82" s="43">
        <f t="shared" si="4"/>
        <v>1275.29931183107</v>
      </c>
      <c r="H82" s="4">
        <v>102.506</v>
      </c>
    </row>
    <row r="83" spans="1:8" ht="12.75">
      <c r="A83" s="5">
        <v>125</v>
      </c>
      <c r="B83" s="13">
        <v>116.7</v>
      </c>
      <c r="C83" s="4">
        <v>30.576</v>
      </c>
      <c r="D83" s="43">
        <f t="shared" si="5"/>
        <v>83.424</v>
      </c>
      <c r="E83" s="43">
        <f t="shared" si="7"/>
        <v>36.85606043715252</v>
      </c>
      <c r="F83" s="43">
        <f t="shared" si="6"/>
        <v>90.76433579338652</v>
      </c>
      <c r="G83" s="43">
        <f t="shared" si="4"/>
        <v>1285.7473034965267</v>
      </c>
      <c r="H83" s="4">
        <v>127.884</v>
      </c>
    </row>
    <row r="84" spans="1:8" ht="12.75">
      <c r="A84" s="5">
        <v>125</v>
      </c>
      <c r="B84" s="13">
        <v>114.6</v>
      </c>
      <c r="C84" s="4">
        <v>31.976</v>
      </c>
      <c r="D84" s="43">
        <f t="shared" si="5"/>
        <v>82.024</v>
      </c>
      <c r="E84" s="43">
        <f t="shared" si="7"/>
        <v>36.8316252073384</v>
      </c>
      <c r="F84" s="43">
        <f t="shared" si="6"/>
        <v>89.18278712270605</v>
      </c>
      <c r="G84" s="43">
        <f t="shared" si="4"/>
        <v>1285.0013292623673</v>
      </c>
      <c r="H84" s="4">
        <v>127.664</v>
      </c>
    </row>
    <row r="85" spans="1:8" ht="12.75">
      <c r="A85" s="5">
        <v>125</v>
      </c>
      <c r="B85" s="13">
        <v>115.7</v>
      </c>
      <c r="C85" s="4">
        <v>30.606</v>
      </c>
      <c r="D85" s="43">
        <f t="shared" si="5"/>
        <v>83.394</v>
      </c>
      <c r="E85" s="43">
        <f t="shared" si="7"/>
        <v>36.855536825085075</v>
      </c>
      <c r="F85" s="43">
        <f t="shared" si="6"/>
        <v>90.7304243021273</v>
      </c>
      <c r="G85" s="43">
        <f t="shared" si="4"/>
        <v>1275.2062044229551</v>
      </c>
      <c r="H85" s="4">
        <v>126.029</v>
      </c>
    </row>
    <row r="86" spans="1:8" ht="12.75">
      <c r="A86" s="5">
        <v>125</v>
      </c>
      <c r="B86" s="13">
        <v>112.5</v>
      </c>
      <c r="C86" s="4">
        <v>33.466</v>
      </c>
      <c r="D86" s="43">
        <f t="shared" si="5"/>
        <v>80.53399999999999</v>
      </c>
      <c r="E86" s="43">
        <f t="shared" si="7"/>
        <v>36.805619141321934</v>
      </c>
      <c r="F86" s="43">
        <f t="shared" si="6"/>
        <v>87.50178371744035</v>
      </c>
      <c r="G86" s="43">
        <f t="shared" si="4"/>
        <v>1285.688076522915</v>
      </c>
      <c r="H86" s="4">
        <v>127.83</v>
      </c>
    </row>
    <row r="87" spans="1:8" ht="12.75">
      <c r="A87" s="5">
        <v>125</v>
      </c>
      <c r="B87" s="13">
        <v>112.2</v>
      </c>
      <c r="C87" s="4">
        <v>34.238</v>
      </c>
      <c r="D87" s="43">
        <f t="shared" si="5"/>
        <v>79.762</v>
      </c>
      <c r="E87" s="43">
        <f t="shared" si="7"/>
        <v>36.792144857453</v>
      </c>
      <c r="F87" s="43">
        <f t="shared" si="6"/>
        <v>86.6317191317542</v>
      </c>
      <c r="G87" s="43">
        <f t="shared" si="4"/>
        <v>1295.137636935961</v>
      </c>
      <c r="H87" s="4">
        <v>127.059</v>
      </c>
    </row>
    <row r="88" spans="1:8" ht="12.75">
      <c r="A88" s="5">
        <v>150</v>
      </c>
      <c r="B88" s="13">
        <v>114.2</v>
      </c>
      <c r="C88" s="4">
        <v>32.954</v>
      </c>
      <c r="D88" s="43">
        <f t="shared" si="5"/>
        <v>81.04599999999999</v>
      </c>
      <c r="E88" s="43">
        <f t="shared" si="7"/>
        <v>36.814555453939676</v>
      </c>
      <c r="F88" s="43">
        <f t="shared" si="6"/>
        <v>88.07915947986407</v>
      </c>
      <c r="G88" s="43">
        <f t="shared" si="4"/>
        <v>1296.5609648682837</v>
      </c>
      <c r="H88" s="4">
        <v>151.029</v>
      </c>
    </row>
    <row r="89" spans="1:8" ht="12.75">
      <c r="A89" s="5">
        <v>150</v>
      </c>
      <c r="B89" s="13">
        <v>113.8</v>
      </c>
      <c r="C89" s="4">
        <v>32.945</v>
      </c>
      <c r="D89" s="43">
        <f t="shared" si="5"/>
        <v>81.055</v>
      </c>
      <c r="E89" s="43">
        <f t="shared" si="7"/>
        <v>36.814712537559906</v>
      </c>
      <c r="F89" s="43">
        <f t="shared" si="6"/>
        <v>88.08931107525818</v>
      </c>
      <c r="G89" s="43">
        <f t="shared" si="4"/>
        <v>1291.8707004391958</v>
      </c>
      <c r="H89" s="4">
        <v>152.41</v>
      </c>
    </row>
    <row r="90" spans="1:8" ht="12.75">
      <c r="A90" s="5">
        <v>150</v>
      </c>
      <c r="B90" s="13">
        <v>116.4</v>
      </c>
      <c r="C90" s="4">
        <v>31.855</v>
      </c>
      <c r="D90" s="43">
        <f t="shared" si="5"/>
        <v>82.145</v>
      </c>
      <c r="E90" s="43">
        <f t="shared" si="7"/>
        <v>36.83373710934376</v>
      </c>
      <c r="F90" s="43">
        <f t="shared" si="6"/>
        <v>89.31939844415905</v>
      </c>
      <c r="G90" s="43">
        <f t="shared" si="4"/>
        <v>1303.1883558057243</v>
      </c>
      <c r="H90" s="4">
        <v>152.099</v>
      </c>
    </row>
    <row r="91" spans="1:8" ht="12.75">
      <c r="A91" s="5">
        <v>150</v>
      </c>
      <c r="B91" s="13">
        <v>111</v>
      </c>
      <c r="C91" s="4">
        <v>35.514</v>
      </c>
      <c r="D91" s="43">
        <f t="shared" si="5"/>
        <v>78.48599999999999</v>
      </c>
      <c r="E91" s="43">
        <f t="shared" si="7"/>
        <v>36.76987389085099</v>
      </c>
      <c r="F91" s="43">
        <f t="shared" si="6"/>
        <v>85.19497658599158</v>
      </c>
      <c r="G91" s="43">
        <f t="shared" si="4"/>
        <v>1302.8937203587598</v>
      </c>
      <c r="H91" s="4">
        <v>151.777</v>
      </c>
    </row>
    <row r="92" spans="1:8" ht="12.75">
      <c r="A92" s="5">
        <v>150</v>
      </c>
      <c r="B92" s="13">
        <v>110.8</v>
      </c>
      <c r="C92" s="4">
        <v>35.555</v>
      </c>
      <c r="D92" s="43">
        <f t="shared" si="5"/>
        <v>78.445</v>
      </c>
      <c r="E92" s="43">
        <f t="shared" si="7"/>
        <v>36.76915828769214</v>
      </c>
      <c r="F92" s="43">
        <f t="shared" si="6"/>
        <v>85.14883941197334</v>
      </c>
      <c r="G92" s="43">
        <f t="shared" si="4"/>
        <v>1301.2508539772261</v>
      </c>
      <c r="H92" s="4">
        <v>151.821</v>
      </c>
    </row>
    <row r="93" spans="1:8" ht="12.75">
      <c r="A93" s="5">
        <v>200</v>
      </c>
      <c r="B93" s="13">
        <v>116.2</v>
      </c>
      <c r="C93" s="4">
        <v>32.914</v>
      </c>
      <c r="D93" s="43">
        <f t="shared" si="5"/>
        <v>81.086</v>
      </c>
      <c r="E93" s="43">
        <f t="shared" si="7"/>
        <v>36.81525360336293</v>
      </c>
      <c r="F93" s="43">
        <f t="shared" si="6"/>
        <v>88.12427831953916</v>
      </c>
      <c r="G93" s="43">
        <f t="shared" si="4"/>
        <v>1318.592358608125</v>
      </c>
      <c r="H93" s="4">
        <v>204.073</v>
      </c>
    </row>
    <row r="94" spans="1:8" ht="12.75">
      <c r="A94" s="5">
        <v>200</v>
      </c>
      <c r="B94" s="13">
        <v>114.9</v>
      </c>
      <c r="C94" s="4">
        <v>33.927</v>
      </c>
      <c r="D94" s="43">
        <f t="shared" si="5"/>
        <v>80.07300000000001</v>
      </c>
      <c r="E94" s="43">
        <f t="shared" si="7"/>
        <v>36.797572969218855</v>
      </c>
      <c r="F94" s="43">
        <f t="shared" si="6"/>
        <v>86.98215069905895</v>
      </c>
      <c r="G94" s="43">
        <f t="shared" si="4"/>
        <v>1320.9606692473183</v>
      </c>
      <c r="H94" s="4">
        <v>210.525</v>
      </c>
    </row>
    <row r="95" spans="1:8" ht="12.75">
      <c r="A95" s="5">
        <v>200</v>
      </c>
      <c r="B95" s="13">
        <v>110.9</v>
      </c>
      <c r="C95" s="4">
        <v>36.906</v>
      </c>
      <c r="D95" s="43">
        <f t="shared" si="5"/>
        <v>77.094</v>
      </c>
      <c r="E95" s="43">
        <f t="shared" si="7"/>
        <v>36.745578290921515</v>
      </c>
      <c r="F95" s="43">
        <f t="shared" si="6"/>
        <v>83.62952936857651</v>
      </c>
      <c r="G95" s="43">
        <f t="shared" si="4"/>
        <v>1326.0866208063376</v>
      </c>
      <c r="H95" s="4">
        <v>204.182</v>
      </c>
    </row>
    <row r="96" spans="1:8" ht="12.75">
      <c r="A96" s="5">
        <v>200</v>
      </c>
      <c r="B96" s="13">
        <v>110.9</v>
      </c>
      <c r="C96" s="4">
        <v>37.094</v>
      </c>
      <c r="D96" s="43">
        <f t="shared" si="5"/>
        <v>76.906</v>
      </c>
      <c r="E96" s="43">
        <f t="shared" si="7"/>
        <v>36.74229698863219</v>
      </c>
      <c r="F96" s="43">
        <f t="shared" si="6"/>
        <v>83.41825658614825</v>
      </c>
      <c r="G96" s="43">
        <f t="shared" si="4"/>
        <v>1329.4451902800274</v>
      </c>
      <c r="H96" s="4">
        <v>201.275</v>
      </c>
    </row>
    <row r="97" spans="1:8" ht="12.75">
      <c r="A97" s="5">
        <v>200</v>
      </c>
      <c r="B97" s="13">
        <v>109.5</v>
      </c>
      <c r="C97" s="4">
        <v>38.001</v>
      </c>
      <c r="D97" s="43">
        <f t="shared" si="5"/>
        <v>75.999</v>
      </c>
      <c r="E97" s="43">
        <f t="shared" si="7"/>
        <v>36.72646645045975</v>
      </c>
      <c r="F97" s="43">
        <f t="shared" si="6"/>
        <v>82.3994876840956</v>
      </c>
      <c r="G97" s="43">
        <f t="shared" si="4"/>
        <v>1328.891757431827</v>
      </c>
      <c r="H97" s="4">
        <v>203.282</v>
      </c>
    </row>
    <row r="98" spans="1:8" ht="12.75">
      <c r="A98" s="5">
        <v>300</v>
      </c>
      <c r="B98" s="13">
        <v>114.4</v>
      </c>
      <c r="C98" s="4">
        <v>35.768</v>
      </c>
      <c r="D98" s="43">
        <f t="shared" si="5"/>
        <v>78.232</v>
      </c>
      <c r="E98" s="43">
        <f t="shared" si="7"/>
        <v>36.76544064201328</v>
      </c>
      <c r="F98" s="43">
        <f t="shared" si="6"/>
        <v>84.90917896487059</v>
      </c>
      <c r="G98" s="43">
        <f t="shared" si="4"/>
        <v>1347.3219432180663</v>
      </c>
      <c r="H98" s="4">
        <v>316.097</v>
      </c>
    </row>
    <row r="99" spans="1:8" ht="12.75">
      <c r="A99" s="5">
        <v>300</v>
      </c>
      <c r="B99" s="13">
        <v>113.7</v>
      </c>
      <c r="C99" s="4">
        <v>37.059</v>
      </c>
      <c r="D99" s="43">
        <f t="shared" si="5"/>
        <v>76.941</v>
      </c>
      <c r="E99" s="43">
        <f t="shared" si="7"/>
        <v>36.74290786937754</v>
      </c>
      <c r="F99" s="43">
        <f t="shared" si="6"/>
        <v>83.45758653532867</v>
      </c>
      <c r="G99" s="43">
        <f t="shared" si="4"/>
        <v>1362.3686559863472</v>
      </c>
      <c r="H99" s="4">
        <v>303.571</v>
      </c>
    </row>
    <row r="100" spans="1:8" ht="12.75">
      <c r="A100" s="5">
        <v>300</v>
      </c>
      <c r="B100" s="13">
        <v>107.7</v>
      </c>
      <c r="C100" s="4">
        <v>41.196</v>
      </c>
      <c r="D100" s="43">
        <f t="shared" si="5"/>
        <v>72.804</v>
      </c>
      <c r="E100" s="43">
        <f t="shared" si="7"/>
        <v>36.6707017652768</v>
      </c>
      <c r="F100" s="43">
        <f t="shared" si="6"/>
        <v>78.81749445115666</v>
      </c>
      <c r="G100" s="43">
        <f t="shared" si="4"/>
        <v>1366.4479028414419</v>
      </c>
      <c r="H100" s="4">
        <v>306.464</v>
      </c>
    </row>
    <row r="101" spans="1:8" ht="12.75">
      <c r="A101" s="5">
        <v>300</v>
      </c>
      <c r="B101" s="13">
        <v>109.7</v>
      </c>
      <c r="C101" s="4">
        <v>39.6</v>
      </c>
      <c r="D101" s="43">
        <f t="shared" si="5"/>
        <v>74.4</v>
      </c>
      <c r="E101" s="43">
        <f t="shared" si="7"/>
        <v>36.69855792726491</v>
      </c>
      <c r="F101" s="43">
        <f t="shared" si="6"/>
        <v>80.6055005562924</v>
      </c>
      <c r="G101" s="43">
        <f t="shared" si="4"/>
        <v>1360.949305480572</v>
      </c>
      <c r="H101" s="4">
        <v>307.552</v>
      </c>
    </row>
    <row r="102" spans="1:8" ht="12.75">
      <c r="A102" s="5">
        <v>300</v>
      </c>
      <c r="B102" s="13">
        <v>112.3</v>
      </c>
      <c r="C102" s="4">
        <v>37.607</v>
      </c>
      <c r="D102" s="43">
        <f t="shared" si="5"/>
        <v>76.393</v>
      </c>
      <c r="E102" s="43">
        <f t="shared" si="7"/>
        <v>36.73334322227887</v>
      </c>
      <c r="F102" s="43">
        <f t="shared" si="6"/>
        <v>82.84193623778972</v>
      </c>
      <c r="G102" s="43">
        <f t="shared" si="4"/>
        <v>1355.5936171947233</v>
      </c>
      <c r="H102" s="4">
        <v>307.46</v>
      </c>
    </row>
    <row r="103" spans="1:8" ht="12.75">
      <c r="A103" s="5">
        <v>450</v>
      </c>
      <c r="B103" s="13">
        <v>118.6</v>
      </c>
      <c r="C103" s="4">
        <v>35.207</v>
      </c>
      <c r="D103" s="43">
        <f t="shared" si="5"/>
        <v>78.793</v>
      </c>
      <c r="E103" s="43">
        <f t="shared" si="7"/>
        <v>36.77523218767451</v>
      </c>
      <c r="F103" s="43">
        <f t="shared" si="6"/>
        <v>85.54049764135692</v>
      </c>
      <c r="G103" s="43">
        <f t="shared" si="4"/>
        <v>1386.4777885353283</v>
      </c>
      <c r="H103" s="4">
        <v>457.211</v>
      </c>
    </row>
    <row r="104" spans="1:8" ht="12.75">
      <c r="A104" s="5">
        <v>450</v>
      </c>
      <c r="B104" s="13">
        <v>114.7</v>
      </c>
      <c r="C104" s="4">
        <v>37.675</v>
      </c>
      <c r="D104" s="43">
        <f t="shared" si="5"/>
        <v>76.325</v>
      </c>
      <c r="E104" s="43">
        <f t="shared" si="7"/>
        <v>36.732156368259325</v>
      </c>
      <c r="F104" s="43">
        <f t="shared" si="6"/>
        <v>82.76556317961665</v>
      </c>
      <c r="G104" s="43">
        <f t="shared" si="4"/>
        <v>1385.8420772305951</v>
      </c>
      <c r="H104" s="4">
        <v>455.507</v>
      </c>
    </row>
    <row r="105" spans="1:8" ht="12.75">
      <c r="A105" s="5">
        <v>450</v>
      </c>
      <c r="B105" s="13">
        <v>112.8</v>
      </c>
      <c r="C105" s="4">
        <v>38.828</v>
      </c>
      <c r="D105" s="43">
        <f t="shared" si="5"/>
        <v>75.172</v>
      </c>
      <c r="E105" s="43">
        <f t="shared" si="7"/>
        <v>36.71203221113384</v>
      </c>
      <c r="F105" s="43">
        <f t="shared" si="6"/>
        <v>81.47131312923474</v>
      </c>
      <c r="G105" s="43">
        <f t="shared" si="4"/>
        <v>1384.536417389883</v>
      </c>
      <c r="H105" s="4">
        <v>451.774</v>
      </c>
    </row>
    <row r="106" spans="1:8" ht="12.75">
      <c r="A106" s="5">
        <v>450</v>
      </c>
      <c r="B106" s="13">
        <v>110.6</v>
      </c>
      <c r="C106" s="4">
        <v>41.038</v>
      </c>
      <c r="D106" s="43">
        <f t="shared" si="5"/>
        <v>72.962</v>
      </c>
      <c r="E106" s="43">
        <f t="shared" si="7"/>
        <v>36.67345945549869</v>
      </c>
      <c r="F106" s="43">
        <f t="shared" si="6"/>
        <v>78.99438610518592</v>
      </c>
      <c r="G106" s="43">
        <f t="shared" si="4"/>
        <v>1400.099493813766</v>
      </c>
      <c r="H106" s="4">
        <v>458.15</v>
      </c>
    </row>
    <row r="107" spans="1:8" ht="12.75">
      <c r="A107" s="5">
        <v>450</v>
      </c>
      <c r="B107" s="13">
        <v>111</v>
      </c>
      <c r="C107" s="4">
        <v>39.933</v>
      </c>
      <c r="D107" s="43">
        <f t="shared" si="5"/>
        <v>74.06700000000001</v>
      </c>
      <c r="E107" s="43">
        <f t="shared" si="7"/>
        <v>36.69274583331626</v>
      </c>
      <c r="F107" s="43">
        <f t="shared" si="6"/>
        <v>80.23222349813247</v>
      </c>
      <c r="G107" s="43">
        <f t="shared" si="4"/>
        <v>1383.4840312332076</v>
      </c>
      <c r="H107" s="4">
        <v>454.947</v>
      </c>
    </row>
    <row r="108" spans="1:8" ht="12.75">
      <c r="A108" s="36"/>
      <c r="B108" s="36"/>
      <c r="C108" s="36"/>
      <c r="D108" s="44"/>
      <c r="E108" s="36"/>
      <c r="F108" s="44"/>
      <c r="G108" s="44"/>
      <c r="H108" s="36"/>
    </row>
    <row r="109" spans="1:8" ht="12.75">
      <c r="A109" s="36"/>
      <c r="B109" s="36"/>
      <c r="C109" s="36"/>
      <c r="D109" s="44"/>
      <c r="E109" s="44"/>
      <c r="F109" s="44"/>
      <c r="G109" s="44"/>
      <c r="H109" s="36"/>
    </row>
    <row r="110" ht="15.75">
      <c r="A110" s="1" t="s">
        <v>59</v>
      </c>
    </row>
    <row r="111" spans="1:8" ht="12.75">
      <c r="A111" s="36"/>
      <c r="B111" s="36"/>
      <c r="C111" s="36"/>
      <c r="D111" s="44"/>
      <c r="E111" s="44"/>
      <c r="F111" s="44"/>
      <c r="G111" s="44"/>
      <c r="H111" s="36"/>
    </row>
    <row r="112" spans="1:8" ht="12.75">
      <c r="A112" s="5">
        <v>20</v>
      </c>
      <c r="B112" s="20">
        <v>105.7</v>
      </c>
      <c r="C112" s="4">
        <v>26.588</v>
      </c>
      <c r="D112" s="43">
        <f t="shared" si="5"/>
        <v>87.412</v>
      </c>
      <c r="E112" s="43">
        <f t="shared" si="7"/>
        <v>36.92566593465161</v>
      </c>
      <c r="F112" s="43">
        <f t="shared" si="6"/>
        <v>95.28056097578228</v>
      </c>
      <c r="G112" s="43">
        <f t="shared" si="4"/>
        <v>1109.3553492707297</v>
      </c>
      <c r="H112" s="4">
        <v>20.097</v>
      </c>
    </row>
    <row r="113" spans="1:8" ht="12.75">
      <c r="A113" s="5">
        <v>20</v>
      </c>
      <c r="B113" s="20">
        <v>103.7</v>
      </c>
      <c r="C113" s="4">
        <v>28.76</v>
      </c>
      <c r="D113" s="43">
        <f t="shared" si="5"/>
        <v>85.24</v>
      </c>
      <c r="E113" s="43">
        <f t="shared" si="7"/>
        <v>36.88775642096856</v>
      </c>
      <c r="F113" s="43">
        <f t="shared" si="6"/>
        <v>92.81883839207967</v>
      </c>
      <c r="G113" s="43">
        <f t="shared" si="4"/>
        <v>1117.2300989369937</v>
      </c>
      <c r="H113" s="4">
        <v>20.537</v>
      </c>
    </row>
    <row r="114" spans="1:8" ht="12.75">
      <c r="A114" s="5">
        <v>20</v>
      </c>
      <c r="B114" s="20">
        <v>101.6</v>
      </c>
      <c r="C114" s="4">
        <v>31.63</v>
      </c>
      <c r="D114" s="43">
        <f t="shared" si="5"/>
        <v>82.37</v>
      </c>
      <c r="E114" s="43">
        <f t="shared" si="7"/>
        <v>36.8376641998496</v>
      </c>
      <c r="F114" s="43">
        <f t="shared" si="6"/>
        <v>89.57346783198517</v>
      </c>
      <c r="G114" s="43">
        <f t="shared" si="4"/>
        <v>1134.264447487656</v>
      </c>
      <c r="H114" s="4">
        <v>20.281</v>
      </c>
    </row>
    <row r="115" spans="1:8" ht="12.75">
      <c r="A115" s="5">
        <v>20</v>
      </c>
      <c r="B115" s="20">
        <v>107.3</v>
      </c>
      <c r="C115" s="4">
        <v>26.707</v>
      </c>
      <c r="D115" s="43">
        <f t="shared" si="5"/>
        <v>87.293</v>
      </c>
      <c r="E115" s="43">
        <f t="shared" si="7"/>
        <v>36.92358894011741</v>
      </c>
      <c r="F115" s="43">
        <f t="shared" si="6"/>
        <v>95.14556158181752</v>
      </c>
      <c r="G115" s="43">
        <f t="shared" si="4"/>
        <v>1127.7457215671657</v>
      </c>
      <c r="H115" s="4">
        <v>20.355</v>
      </c>
    </row>
    <row r="116" spans="1:8" ht="12.75">
      <c r="A116" s="5">
        <v>20</v>
      </c>
      <c r="B116" s="20">
        <v>100.2</v>
      </c>
      <c r="C116" s="4">
        <v>31.363</v>
      </c>
      <c r="D116" s="43">
        <f t="shared" si="5"/>
        <v>82.637</v>
      </c>
      <c r="E116" s="43">
        <f t="shared" si="7"/>
        <v>36.842324347249864</v>
      </c>
      <c r="F116" s="43">
        <f t="shared" si="6"/>
        <v>89.8750311278428</v>
      </c>
      <c r="G116" s="43">
        <f t="shared" si="4"/>
        <v>1114.8813941156855</v>
      </c>
      <c r="H116" s="4">
        <v>20.437</v>
      </c>
    </row>
    <row r="117" spans="1:8" ht="12.75">
      <c r="A117" s="5">
        <v>50</v>
      </c>
      <c r="B117" s="20">
        <v>104.7</v>
      </c>
      <c r="C117" s="4">
        <v>32.348</v>
      </c>
      <c r="D117" s="43">
        <f t="shared" si="5"/>
        <v>81.652</v>
      </c>
      <c r="E117" s="43">
        <f t="shared" si="7"/>
        <v>36.82513241770207</v>
      </c>
      <c r="F117" s="43">
        <f t="shared" si="6"/>
        <v>88.76288637305869</v>
      </c>
      <c r="G117" s="43">
        <f t="shared" si="4"/>
        <v>1179.547041315891</v>
      </c>
      <c r="H117" s="4">
        <v>51.04</v>
      </c>
    </row>
    <row r="118" spans="1:8" ht="12.75">
      <c r="A118" s="5">
        <v>50</v>
      </c>
      <c r="B118" s="20">
        <v>109</v>
      </c>
      <c r="C118" s="4">
        <v>28.499</v>
      </c>
      <c r="D118" s="43">
        <f t="shared" si="5"/>
        <v>85.501</v>
      </c>
      <c r="E118" s="43">
        <f t="shared" si="7"/>
        <v>36.892311845955334</v>
      </c>
      <c r="F118" s="43">
        <f t="shared" si="6"/>
        <v>93.11439593249533</v>
      </c>
      <c r="G118" s="43">
        <f t="shared" si="4"/>
        <v>1170.6030942736413</v>
      </c>
      <c r="H118" s="4">
        <v>50.18</v>
      </c>
    </row>
    <row r="119" spans="1:8" ht="12.75">
      <c r="A119" s="5">
        <v>50</v>
      </c>
      <c r="B119" s="20">
        <v>106</v>
      </c>
      <c r="C119" s="4">
        <v>31.088</v>
      </c>
      <c r="D119" s="43">
        <f t="shared" si="5"/>
        <v>82.912</v>
      </c>
      <c r="E119" s="43">
        <f t="shared" si="7"/>
        <v>36.84712412453479</v>
      </c>
      <c r="F119" s="43">
        <f t="shared" si="6"/>
        <v>90.18570676371748</v>
      </c>
      <c r="G119" s="43">
        <f t="shared" si="4"/>
        <v>1175.3525453619304</v>
      </c>
      <c r="H119" s="4">
        <v>50.484</v>
      </c>
    </row>
    <row r="120" spans="1:8" ht="12.75">
      <c r="A120" s="5">
        <v>50</v>
      </c>
      <c r="B120" s="20">
        <v>104.8</v>
      </c>
      <c r="C120" s="4">
        <v>33.118</v>
      </c>
      <c r="D120" s="43">
        <f t="shared" si="5"/>
        <v>80.882</v>
      </c>
      <c r="E120" s="43">
        <f t="shared" si="7"/>
        <v>36.8116930413043</v>
      </c>
      <c r="F120" s="43">
        <f t="shared" si="6"/>
        <v>87.89418944832062</v>
      </c>
      <c r="G120" s="43">
        <f t="shared" si="4"/>
        <v>1192.3427550534445</v>
      </c>
      <c r="H120" s="4">
        <v>51.429</v>
      </c>
    </row>
    <row r="121" spans="1:8" ht="12.75">
      <c r="A121" s="5">
        <v>50</v>
      </c>
      <c r="B121" s="20">
        <v>105.6</v>
      </c>
      <c r="C121" s="4">
        <v>32.207</v>
      </c>
      <c r="D121" s="43">
        <f t="shared" si="5"/>
        <v>81.793</v>
      </c>
      <c r="E121" s="43">
        <f t="shared" si="7"/>
        <v>36.82759339441907</v>
      </c>
      <c r="F121" s="43">
        <f t="shared" si="6"/>
        <v>88.92202554014212</v>
      </c>
      <c r="G121" s="43">
        <f t="shared" si="4"/>
        <v>1187.557293691302</v>
      </c>
      <c r="H121" s="4">
        <v>50.73</v>
      </c>
    </row>
    <row r="122" spans="1:8" ht="12.75">
      <c r="A122" s="5">
        <v>80</v>
      </c>
      <c r="B122" s="20">
        <v>109</v>
      </c>
      <c r="C122" s="4">
        <v>31.712</v>
      </c>
      <c r="D122" s="43">
        <f t="shared" si="5"/>
        <v>82.288</v>
      </c>
      <c r="E122" s="43">
        <f t="shared" si="7"/>
        <v>36.836232993531915</v>
      </c>
      <c r="F122" s="43">
        <f t="shared" si="6"/>
        <v>89.48086761921658</v>
      </c>
      <c r="G122" s="43">
        <f t="shared" si="4"/>
        <v>1218.1374957588314</v>
      </c>
      <c r="H122" s="4">
        <v>81.686</v>
      </c>
    </row>
    <row r="123" spans="1:8" ht="12.75">
      <c r="A123" s="5">
        <v>80</v>
      </c>
      <c r="B123" s="20">
        <v>100.5</v>
      </c>
      <c r="C123" s="4">
        <v>37.905</v>
      </c>
      <c r="D123" s="43">
        <f t="shared" si="5"/>
        <v>76.095</v>
      </c>
      <c r="E123" s="43">
        <f t="shared" si="7"/>
        <v>36.728142009075576</v>
      </c>
      <c r="F123" s="43">
        <f t="shared" si="6"/>
        <v>82.50727772384941</v>
      </c>
      <c r="G123" s="43">
        <f t="shared" si="4"/>
        <v>1218.0743659531702</v>
      </c>
      <c r="H123" s="4">
        <v>81.32</v>
      </c>
    </row>
    <row r="124" spans="1:8" ht="12.75">
      <c r="A124" s="5">
        <v>80</v>
      </c>
      <c r="B124" s="20">
        <v>111.5</v>
      </c>
      <c r="C124" s="4">
        <v>29.872</v>
      </c>
      <c r="D124" s="43">
        <f t="shared" si="5"/>
        <v>84.128</v>
      </c>
      <c r="E124" s="43">
        <f t="shared" si="7"/>
        <v>36.86834786700191</v>
      </c>
      <c r="F124" s="43">
        <f t="shared" si="6"/>
        <v>91.56039161162971</v>
      </c>
      <c r="G124" s="43">
        <f t="shared" si="4"/>
        <v>1217.7754817055372</v>
      </c>
      <c r="H124" s="4">
        <v>81.548</v>
      </c>
    </row>
    <row r="125" spans="1:8" ht="12.75">
      <c r="A125" s="5">
        <v>80</v>
      </c>
      <c r="B125" s="20">
        <v>102.3</v>
      </c>
      <c r="C125" s="4">
        <v>36.287</v>
      </c>
      <c r="D125" s="43">
        <f t="shared" si="5"/>
        <v>77.713</v>
      </c>
      <c r="E125" s="43">
        <f t="shared" si="7"/>
        <v>36.75638215324648</v>
      </c>
      <c r="F125" s="43">
        <f t="shared" si="6"/>
        <v>84.32541277269326</v>
      </c>
      <c r="G125" s="43">
        <f t="shared" si="4"/>
        <v>1213.1574176311342</v>
      </c>
      <c r="H125" s="4">
        <v>81.291</v>
      </c>
    </row>
    <row r="126" spans="1:8" ht="12.75">
      <c r="A126" s="5">
        <v>80</v>
      </c>
      <c r="B126" s="20">
        <v>102.7</v>
      </c>
      <c r="C126" s="4">
        <v>36.393</v>
      </c>
      <c r="D126" s="43">
        <f t="shared" si="5"/>
        <v>77.607</v>
      </c>
      <c r="E126" s="43">
        <f t="shared" si="7"/>
        <v>36.75453205727484</v>
      </c>
      <c r="F126" s="43">
        <f t="shared" si="6"/>
        <v>84.2062190272064</v>
      </c>
      <c r="G126" s="43">
        <f t="shared" si="4"/>
        <v>1219.6248826564508</v>
      </c>
      <c r="H126" s="4">
        <v>81.345</v>
      </c>
    </row>
    <row r="127" spans="1:8" ht="12.75">
      <c r="A127" s="5">
        <v>100</v>
      </c>
      <c r="B127" s="20">
        <v>102</v>
      </c>
      <c r="C127" s="4">
        <v>37.851</v>
      </c>
      <c r="D127" s="43">
        <f t="shared" si="5"/>
        <v>76.149</v>
      </c>
      <c r="E127" s="43">
        <f t="shared" si="7"/>
        <v>36.72908451079698</v>
      </c>
      <c r="F127" s="43">
        <f t="shared" si="6"/>
        <v>82.56791377864256</v>
      </c>
      <c r="G127" s="43">
        <f t="shared" si="4"/>
        <v>1235.3467022729094</v>
      </c>
      <c r="H127" s="4">
        <v>101.829</v>
      </c>
    </row>
    <row r="128" spans="1:8" ht="12.75">
      <c r="A128" s="5">
        <v>100</v>
      </c>
      <c r="B128" s="20">
        <v>97.5</v>
      </c>
      <c r="C128" s="4">
        <v>41.283</v>
      </c>
      <c r="D128" s="43">
        <f t="shared" si="5"/>
        <v>72.717</v>
      </c>
      <c r="E128" s="43">
        <f t="shared" si="7"/>
        <v>36.66918329028121</v>
      </c>
      <c r="F128" s="43">
        <f t="shared" si="6"/>
        <v>78.72010300831886</v>
      </c>
      <c r="G128" s="43">
        <f t="shared" si="4"/>
        <v>1238.565452457507</v>
      </c>
      <c r="H128" s="4">
        <v>100.943</v>
      </c>
    </row>
    <row r="129" spans="1:8" ht="12.75">
      <c r="A129" s="5">
        <v>100</v>
      </c>
      <c r="B129" s="20">
        <v>106</v>
      </c>
      <c r="C129" s="4">
        <v>34.445</v>
      </c>
      <c r="D129" s="43">
        <f t="shared" si="5"/>
        <v>79.555</v>
      </c>
      <c r="E129" s="43">
        <f t="shared" si="7"/>
        <v>36.78853193418763</v>
      </c>
      <c r="F129" s="43">
        <f t="shared" si="6"/>
        <v>86.3985288138511</v>
      </c>
      <c r="G129" s="43">
        <f t="shared" si="4"/>
        <v>1226.8727425715895</v>
      </c>
      <c r="H129" s="4">
        <v>102.053</v>
      </c>
    </row>
    <row r="130" spans="1:8" ht="12.75">
      <c r="A130" s="5">
        <v>100</v>
      </c>
      <c r="B130" s="20">
        <v>106.5</v>
      </c>
      <c r="C130" s="4">
        <v>34.479</v>
      </c>
      <c r="D130" s="43">
        <f t="shared" si="5"/>
        <v>79.521</v>
      </c>
      <c r="E130" s="43">
        <f t="shared" si="7"/>
        <v>36.787938507177856</v>
      </c>
      <c r="F130" s="43">
        <f t="shared" si="6"/>
        <v>86.36023123510326</v>
      </c>
      <c r="G130" s="43">
        <f t="shared" si="4"/>
        <v>1233.2065173617834</v>
      </c>
      <c r="H130" s="4">
        <v>102.131</v>
      </c>
    </row>
    <row r="131" spans="1:8" ht="12.75">
      <c r="A131" s="5">
        <v>100</v>
      </c>
      <c r="B131" s="20">
        <v>104.4</v>
      </c>
      <c r="C131" s="4">
        <v>32.695</v>
      </c>
      <c r="D131" s="43">
        <f t="shared" si="5"/>
        <v>81.305</v>
      </c>
      <c r="E131" s="43">
        <f t="shared" si="7"/>
        <v>36.819075971455284</v>
      </c>
      <c r="F131" s="43">
        <f t="shared" si="6"/>
        <v>88.37133314825748</v>
      </c>
      <c r="G131" s="43">
        <f t="shared" si="4"/>
        <v>1181.378579237362</v>
      </c>
      <c r="H131" s="4">
        <v>102.373</v>
      </c>
    </row>
    <row r="132" spans="1:8" ht="12.75">
      <c r="A132" s="5">
        <v>125</v>
      </c>
      <c r="B132" s="20">
        <v>109.6</v>
      </c>
      <c r="C132" s="4">
        <v>32.563</v>
      </c>
      <c r="D132" s="43">
        <f t="shared" si="5"/>
        <v>81.437</v>
      </c>
      <c r="E132" s="43">
        <f t="shared" si="7"/>
        <v>36.82137986455204</v>
      </c>
      <c r="F132" s="43">
        <f t="shared" si="6"/>
        <v>88.52026674610055</v>
      </c>
      <c r="G132" s="43">
        <f aca="true" t="shared" si="8" ref="G132:G195">(1000*B132)/F132</f>
        <v>1238.1345428427333</v>
      </c>
      <c r="H132" s="4">
        <v>127.381</v>
      </c>
    </row>
    <row r="133" spans="1:8" ht="12.75">
      <c r="A133" s="5">
        <v>125</v>
      </c>
      <c r="B133" s="20">
        <v>99.5</v>
      </c>
      <c r="C133" s="4">
        <v>40.915</v>
      </c>
      <c r="D133" s="43">
        <f aca="true" t="shared" si="9" ref="D133:D196">114-C133</f>
        <v>73.08500000000001</v>
      </c>
      <c r="E133" s="43">
        <f t="shared" si="7"/>
        <v>36.67560626497521</v>
      </c>
      <c r="F133" s="43">
        <f aca="true" t="shared" si="10" ref="F133:F196">(((3.14*D133)/12)*(37.6^2+37.6*E133+E133^2))*10^-3</f>
        <v>79.13211061318415</v>
      </c>
      <c r="G133" s="43">
        <f t="shared" si="8"/>
        <v>1257.3909532930159</v>
      </c>
      <c r="H133" s="4">
        <v>126.5</v>
      </c>
    </row>
    <row r="134" spans="1:8" ht="12.75">
      <c r="A134" s="5">
        <v>125</v>
      </c>
      <c r="B134" s="20">
        <v>107.5</v>
      </c>
      <c r="C134" s="4">
        <v>34.146</v>
      </c>
      <c r="D134" s="43">
        <f t="shared" si="9"/>
        <v>79.854</v>
      </c>
      <c r="E134" s="43">
        <f t="shared" si="7"/>
        <v>36.793750601126504</v>
      </c>
      <c r="F134" s="43">
        <f t="shared" si="10"/>
        <v>86.73537341584958</v>
      </c>
      <c r="G134" s="43">
        <f t="shared" si="8"/>
        <v>1239.402054391294</v>
      </c>
      <c r="H134" s="4">
        <v>127.618</v>
      </c>
    </row>
    <row r="135" spans="1:8" ht="12.75">
      <c r="A135" s="5">
        <v>125</v>
      </c>
      <c r="B135" s="20">
        <v>105</v>
      </c>
      <c r="C135" s="4">
        <v>37.454</v>
      </c>
      <c r="D135" s="43">
        <f t="shared" si="9"/>
        <v>76.54599999999999</v>
      </c>
      <c r="E135" s="43">
        <f aca="true" t="shared" si="11" ref="E135:E198">2*(TAN(RADIANS(0.5))*D135+17.7)</f>
        <v>36.736013643822844</v>
      </c>
      <c r="F135" s="43">
        <f t="shared" si="10"/>
        <v>83.0137929763983</v>
      </c>
      <c r="G135" s="43">
        <f t="shared" si="8"/>
        <v>1264.850047628261</v>
      </c>
      <c r="H135" s="4">
        <v>127.139</v>
      </c>
    </row>
    <row r="136" spans="1:8" ht="12.75">
      <c r="A136" s="5">
        <v>125</v>
      </c>
      <c r="B136" s="20">
        <v>108.4</v>
      </c>
      <c r="C136" s="4">
        <v>34.634</v>
      </c>
      <c r="D136" s="43">
        <f t="shared" si="9"/>
        <v>79.366</v>
      </c>
      <c r="E136" s="43">
        <f t="shared" si="11"/>
        <v>36.78523317816272</v>
      </c>
      <c r="F136" s="43">
        <f t="shared" si="10"/>
        <v>86.18565439184889</v>
      </c>
      <c r="G136" s="43">
        <f t="shared" si="8"/>
        <v>1257.74992096889</v>
      </c>
      <c r="H136" s="4">
        <v>126.254</v>
      </c>
    </row>
    <row r="137" spans="1:8" ht="12.75">
      <c r="A137" s="5">
        <v>150</v>
      </c>
      <c r="B137" s="24">
        <v>115.8</v>
      </c>
      <c r="C137" s="4">
        <v>29.838</v>
      </c>
      <c r="D137" s="43">
        <f t="shared" si="9"/>
        <v>84.162</v>
      </c>
      <c r="E137" s="43">
        <f t="shared" si="11"/>
        <v>36.868941294011684</v>
      </c>
      <c r="F137" s="43">
        <f t="shared" si="10"/>
        <v>91.59885041495981</v>
      </c>
      <c r="G137" s="43">
        <f t="shared" si="8"/>
        <v>1264.2080056180234</v>
      </c>
      <c r="H137" s="4">
        <v>150.406</v>
      </c>
    </row>
    <row r="138" spans="1:8" ht="12.75">
      <c r="A138" s="5">
        <v>150</v>
      </c>
      <c r="B138" s="26">
        <v>104.5</v>
      </c>
      <c r="C138" s="4">
        <v>34.644</v>
      </c>
      <c r="D138" s="43">
        <f t="shared" si="9"/>
        <v>79.356</v>
      </c>
      <c r="E138" s="43">
        <f t="shared" si="11"/>
        <v>36.78505864080691</v>
      </c>
      <c r="F138" s="43">
        <f t="shared" si="10"/>
        <v>86.17439221790292</v>
      </c>
      <c r="G138" s="43">
        <f t="shared" si="8"/>
        <v>1212.6572327398428</v>
      </c>
      <c r="H138" s="4">
        <v>154.427</v>
      </c>
    </row>
    <row r="139" spans="1:8" ht="12.75">
      <c r="A139" s="5">
        <v>150</v>
      </c>
      <c r="B139" s="26">
        <v>117.5</v>
      </c>
      <c r="C139" s="4">
        <v>30.018</v>
      </c>
      <c r="D139" s="43">
        <f t="shared" si="9"/>
        <v>83.982</v>
      </c>
      <c r="E139" s="43">
        <f t="shared" si="11"/>
        <v>36.86579962160701</v>
      </c>
      <c r="F139" s="43">
        <f t="shared" si="10"/>
        <v>91.39525852445784</v>
      </c>
      <c r="G139" s="43">
        <f t="shared" si="8"/>
        <v>1285.624680065393</v>
      </c>
      <c r="H139" s="4">
        <v>151.213</v>
      </c>
    </row>
    <row r="140" spans="1:8" ht="12.75">
      <c r="A140" s="5">
        <v>150</v>
      </c>
      <c r="B140" s="26">
        <v>112.5</v>
      </c>
      <c r="C140" s="4">
        <v>34.667</v>
      </c>
      <c r="D140" s="43">
        <f t="shared" si="9"/>
        <v>79.333</v>
      </c>
      <c r="E140" s="43">
        <f t="shared" si="11"/>
        <v>36.78465720488853</v>
      </c>
      <c r="F140" s="43">
        <f t="shared" si="10"/>
        <v>86.14848960798753</v>
      </c>
      <c r="G140" s="43">
        <f t="shared" si="8"/>
        <v>1305.8847637599117</v>
      </c>
      <c r="H140" s="4">
        <v>152.136</v>
      </c>
    </row>
    <row r="141" spans="1:8" ht="12.75">
      <c r="A141" s="5">
        <v>150</v>
      </c>
      <c r="B141" s="26">
        <v>115.8</v>
      </c>
      <c r="C141" s="4">
        <v>33.258</v>
      </c>
      <c r="D141" s="43">
        <f t="shared" si="9"/>
        <v>80.74199999999999</v>
      </c>
      <c r="E141" s="43">
        <f t="shared" si="11"/>
        <v>36.80924951832289</v>
      </c>
      <c r="F141" s="43">
        <f t="shared" si="10"/>
        <v>87.73631009530553</v>
      </c>
      <c r="G141" s="43">
        <f t="shared" si="8"/>
        <v>1319.8640320547977</v>
      </c>
      <c r="H141" s="4">
        <v>150.284</v>
      </c>
    </row>
    <row r="142" spans="1:8" ht="12.75">
      <c r="A142" s="5">
        <v>200</v>
      </c>
      <c r="B142" s="26">
        <v>114.2</v>
      </c>
      <c r="C142" s="4">
        <v>33.118</v>
      </c>
      <c r="D142" s="43">
        <f t="shared" si="9"/>
        <v>80.882</v>
      </c>
      <c r="E142" s="43">
        <f t="shared" si="11"/>
        <v>36.8116930413043</v>
      </c>
      <c r="F142" s="43">
        <f t="shared" si="10"/>
        <v>87.89418944832062</v>
      </c>
      <c r="G142" s="43">
        <f t="shared" si="8"/>
        <v>1299.289528884574</v>
      </c>
      <c r="H142" s="4">
        <v>201.48</v>
      </c>
    </row>
    <row r="143" spans="1:8" ht="12.75">
      <c r="A143" s="5">
        <v>200</v>
      </c>
      <c r="B143" s="26">
        <v>114.5</v>
      </c>
      <c r="C143" s="4">
        <v>33.843</v>
      </c>
      <c r="D143" s="43">
        <f t="shared" si="9"/>
        <v>80.157</v>
      </c>
      <c r="E143" s="43">
        <f t="shared" si="11"/>
        <v>36.799039083007706</v>
      </c>
      <c r="F143" s="43">
        <f t="shared" si="10"/>
        <v>87.07681808706538</v>
      </c>
      <c r="G143" s="43">
        <f t="shared" si="8"/>
        <v>1314.9309140524065</v>
      </c>
      <c r="H143" s="4">
        <v>204.527</v>
      </c>
    </row>
    <row r="144" spans="1:8" ht="12.75">
      <c r="A144" s="5">
        <v>200</v>
      </c>
      <c r="B144" s="26">
        <v>112.3</v>
      </c>
      <c r="C144" s="4">
        <v>35.079</v>
      </c>
      <c r="D144" s="43">
        <f t="shared" si="9"/>
        <v>78.92099999999999</v>
      </c>
      <c r="E144" s="43">
        <f t="shared" si="11"/>
        <v>36.77746626582895</v>
      </c>
      <c r="F144" s="43">
        <f t="shared" si="10"/>
        <v>85.68458715121393</v>
      </c>
      <c r="G144" s="43">
        <f t="shared" si="8"/>
        <v>1310.620774793673</v>
      </c>
      <c r="H144" s="4">
        <v>200.164</v>
      </c>
    </row>
    <row r="145" spans="1:8" ht="12.75">
      <c r="A145" s="5">
        <v>200</v>
      </c>
      <c r="B145" s="26">
        <v>111.8</v>
      </c>
      <c r="C145" s="4">
        <v>35.725</v>
      </c>
      <c r="D145" s="43">
        <f t="shared" si="9"/>
        <v>78.275</v>
      </c>
      <c r="E145" s="43">
        <f t="shared" si="11"/>
        <v>36.76619115264329</v>
      </c>
      <c r="F145" s="43">
        <f t="shared" si="10"/>
        <v>84.95755736499548</v>
      </c>
      <c r="G145" s="43">
        <f t="shared" si="8"/>
        <v>1315.9512051374518</v>
      </c>
      <c r="H145" s="4">
        <v>204.359</v>
      </c>
    </row>
    <row r="146" spans="1:8" ht="12.75">
      <c r="A146" s="5">
        <v>200</v>
      </c>
      <c r="B146" s="26">
        <v>113.9</v>
      </c>
      <c r="C146" s="4">
        <v>35.147</v>
      </c>
      <c r="D146" s="43">
        <f t="shared" si="9"/>
        <v>78.85300000000001</v>
      </c>
      <c r="E146" s="43">
        <f t="shared" si="11"/>
        <v>36.776279411809405</v>
      </c>
      <c r="F146" s="43">
        <f t="shared" si="10"/>
        <v>85.60803750228153</v>
      </c>
      <c r="G146" s="43">
        <f t="shared" si="8"/>
        <v>1330.4825495732741</v>
      </c>
      <c r="H146" s="4">
        <v>203.071</v>
      </c>
    </row>
    <row r="147" spans="1:8" ht="12.75">
      <c r="A147" s="5">
        <v>300</v>
      </c>
      <c r="B147" s="26">
        <v>114.5</v>
      </c>
      <c r="C147" s="4">
        <v>36.292</v>
      </c>
      <c r="D147" s="43">
        <f t="shared" si="9"/>
        <v>77.708</v>
      </c>
      <c r="E147" s="43">
        <f t="shared" si="11"/>
        <v>36.75629488456857</v>
      </c>
      <c r="F147" s="43">
        <f t="shared" si="10"/>
        <v>84.31979016681753</v>
      </c>
      <c r="G147" s="43">
        <f t="shared" si="8"/>
        <v>1357.9255803824253</v>
      </c>
      <c r="H147" s="4">
        <v>305.167</v>
      </c>
    </row>
    <row r="148" spans="1:8" ht="12.75">
      <c r="A148" s="5">
        <v>300</v>
      </c>
      <c r="B148" s="26">
        <v>112</v>
      </c>
      <c r="C148" s="4">
        <v>38.461</v>
      </c>
      <c r="D148" s="43">
        <f t="shared" si="9"/>
        <v>75.539</v>
      </c>
      <c r="E148" s="43">
        <f t="shared" si="11"/>
        <v>36.718437732092255</v>
      </c>
      <c r="F148" s="43">
        <f t="shared" si="10"/>
        <v>81.88312500335805</v>
      </c>
      <c r="G148" s="43">
        <f t="shared" si="8"/>
        <v>1367.803195046682</v>
      </c>
      <c r="H148" s="4">
        <v>301.759</v>
      </c>
    </row>
    <row r="149" spans="1:8" ht="12.75">
      <c r="A149" s="5">
        <v>300</v>
      </c>
      <c r="B149" s="26">
        <v>105</v>
      </c>
      <c r="C149" s="4">
        <v>36.393</v>
      </c>
      <c r="D149" s="43">
        <f t="shared" si="9"/>
        <v>77.607</v>
      </c>
      <c r="E149" s="43">
        <f t="shared" si="11"/>
        <v>36.75453205727484</v>
      </c>
      <c r="F149" s="43">
        <f t="shared" si="10"/>
        <v>84.2062190272064</v>
      </c>
      <c r="G149" s="43">
        <f t="shared" si="8"/>
        <v>1246.9387797363909</v>
      </c>
      <c r="H149" s="4">
        <v>302.428</v>
      </c>
    </row>
    <row r="150" spans="1:8" ht="12.75">
      <c r="A150" s="5">
        <v>300</v>
      </c>
      <c r="B150" s="26">
        <v>114.1</v>
      </c>
      <c r="C150" s="4">
        <v>36.243</v>
      </c>
      <c r="D150" s="43">
        <f t="shared" si="9"/>
        <v>77.757</v>
      </c>
      <c r="E150" s="43">
        <f t="shared" si="11"/>
        <v>36.75715011761206</v>
      </c>
      <c r="F150" s="43">
        <f t="shared" si="10"/>
        <v>84.37489281184331</v>
      </c>
      <c r="G150" s="43">
        <f t="shared" si="8"/>
        <v>1352.2980142261504</v>
      </c>
      <c r="H150" s="4">
        <v>306.907</v>
      </c>
    </row>
    <row r="151" spans="1:8" ht="12.75">
      <c r="A151" s="5">
        <v>300</v>
      </c>
      <c r="B151" s="26">
        <v>113.2</v>
      </c>
      <c r="C151" s="4">
        <v>36.283</v>
      </c>
      <c r="D151" s="43">
        <f t="shared" si="9"/>
        <v>77.717</v>
      </c>
      <c r="E151" s="43">
        <f t="shared" si="11"/>
        <v>36.7564519681888</v>
      </c>
      <c r="F151" s="43">
        <f t="shared" si="10"/>
        <v>84.32991087588536</v>
      </c>
      <c r="G151" s="43">
        <f t="shared" si="8"/>
        <v>1342.346965913493</v>
      </c>
      <c r="H151" s="4">
        <v>298.418</v>
      </c>
    </row>
    <row r="152" spans="1:8" ht="12.75">
      <c r="A152" s="5">
        <v>450</v>
      </c>
      <c r="B152" s="26">
        <v>113.5</v>
      </c>
      <c r="C152" s="4">
        <v>37.698</v>
      </c>
      <c r="D152" s="43">
        <f t="shared" si="9"/>
        <v>76.30199999999999</v>
      </c>
      <c r="E152" s="43">
        <f t="shared" si="11"/>
        <v>36.731754932340955</v>
      </c>
      <c r="F152" s="43">
        <f t="shared" si="10"/>
        <v>82.73973219021224</v>
      </c>
      <c r="G152" s="43">
        <f t="shared" si="8"/>
        <v>1371.771421003301</v>
      </c>
      <c r="H152" s="4">
        <v>454.709</v>
      </c>
    </row>
    <row r="153" spans="1:8" ht="12.75">
      <c r="A153" s="5">
        <v>450</v>
      </c>
      <c r="B153" s="26">
        <v>114.5</v>
      </c>
      <c r="C153" s="4">
        <v>38.045</v>
      </c>
      <c r="D153" s="43">
        <f t="shared" si="9"/>
        <v>75.955</v>
      </c>
      <c r="E153" s="43">
        <f t="shared" si="11"/>
        <v>36.72569848609417</v>
      </c>
      <c r="F153" s="43">
        <f t="shared" si="10"/>
        <v>82.3500870774809</v>
      </c>
      <c r="G153" s="43">
        <f t="shared" si="8"/>
        <v>1390.4053300182932</v>
      </c>
      <c r="H153" s="4">
        <v>455.693</v>
      </c>
    </row>
    <row r="154" spans="1:8" ht="12.75">
      <c r="A154" s="5">
        <v>450</v>
      </c>
      <c r="B154" s="26">
        <v>114</v>
      </c>
      <c r="C154" s="4">
        <v>37.304</v>
      </c>
      <c r="D154" s="43">
        <f t="shared" si="9"/>
        <v>76.696</v>
      </c>
      <c r="E154" s="43">
        <f t="shared" si="11"/>
        <v>36.73863170416007</v>
      </c>
      <c r="F154" s="43">
        <f t="shared" si="10"/>
        <v>83.18230330788792</v>
      </c>
      <c r="G154" s="43">
        <f t="shared" si="8"/>
        <v>1370.4838104571904</v>
      </c>
      <c r="H154" s="4">
        <v>455.248</v>
      </c>
    </row>
    <row r="155" spans="1:8" ht="12.75">
      <c r="A155" s="5">
        <v>450</v>
      </c>
      <c r="B155" s="26">
        <v>119.2</v>
      </c>
      <c r="C155" s="4">
        <v>37.645</v>
      </c>
      <c r="D155" s="43">
        <f t="shared" si="9"/>
        <v>76.35499999999999</v>
      </c>
      <c r="E155" s="43">
        <f t="shared" si="11"/>
        <v>36.73267998032677</v>
      </c>
      <c r="F155" s="43">
        <f t="shared" si="10"/>
        <v>82.79925659067405</v>
      </c>
      <c r="G155" s="43">
        <f t="shared" si="8"/>
        <v>1439.626452074038</v>
      </c>
      <c r="H155" s="4">
        <v>450.217</v>
      </c>
    </row>
    <row r="156" spans="1:8" ht="12.75">
      <c r="A156" s="5">
        <v>450</v>
      </c>
      <c r="B156" s="26">
        <v>119</v>
      </c>
      <c r="C156" s="4">
        <v>37.891</v>
      </c>
      <c r="D156" s="43">
        <f t="shared" si="9"/>
        <v>76.10900000000001</v>
      </c>
      <c r="E156" s="43">
        <f t="shared" si="11"/>
        <v>36.72838636137372</v>
      </c>
      <c r="F156" s="43">
        <f t="shared" si="10"/>
        <v>82.52299789506723</v>
      </c>
      <c r="G156" s="43">
        <f t="shared" si="8"/>
        <v>1442.0222608892054</v>
      </c>
      <c r="H156" s="4">
        <v>450.356</v>
      </c>
    </row>
    <row r="157" spans="4:7" ht="12.75">
      <c r="D157" s="44"/>
      <c r="E157" s="44"/>
      <c r="F157" s="45"/>
      <c r="G157" s="45"/>
    </row>
    <row r="158" spans="4:7" ht="12.75">
      <c r="D158" s="44"/>
      <c r="E158" s="44"/>
      <c r="F158" s="45"/>
      <c r="G158" s="45"/>
    </row>
    <row r="159" ht="15.75">
      <c r="A159" s="1" t="s">
        <v>60</v>
      </c>
    </row>
    <row r="160" spans="4:7" ht="12.75">
      <c r="D160" s="44"/>
      <c r="E160" s="44"/>
      <c r="F160" s="45"/>
      <c r="G160" s="45"/>
    </row>
    <row r="161" spans="1:8" ht="12.75">
      <c r="A161" s="5">
        <v>50</v>
      </c>
      <c r="B161" s="20">
        <v>103.8</v>
      </c>
      <c r="C161" s="4">
        <v>34.766</v>
      </c>
      <c r="D161" s="43">
        <f t="shared" si="9"/>
        <v>79.23400000000001</v>
      </c>
      <c r="E161" s="43">
        <f t="shared" si="11"/>
        <v>36.78292928506596</v>
      </c>
      <c r="F161" s="43">
        <f t="shared" si="10"/>
        <v>86.03700197382034</v>
      </c>
      <c r="G161" s="43">
        <f t="shared" si="8"/>
        <v>1206.45765913118</v>
      </c>
      <c r="H161" s="4">
        <v>51.086</v>
      </c>
    </row>
    <row r="162" spans="1:8" ht="12.75">
      <c r="A162" s="5">
        <v>50</v>
      </c>
      <c r="B162" s="20">
        <v>108</v>
      </c>
      <c r="C162" s="4">
        <v>28.33</v>
      </c>
      <c r="D162" s="43">
        <f t="shared" si="9"/>
        <v>85.67</v>
      </c>
      <c r="E162" s="43">
        <f t="shared" si="11"/>
        <v>36.89526152726861</v>
      </c>
      <c r="F162" s="43">
        <f t="shared" si="10"/>
        <v>93.30580973292776</v>
      </c>
      <c r="G162" s="43">
        <f t="shared" si="8"/>
        <v>1157.4841942761325</v>
      </c>
      <c r="H162" s="4">
        <v>50.269</v>
      </c>
    </row>
    <row r="163" spans="1:8" ht="12.75">
      <c r="A163" s="5">
        <v>50</v>
      </c>
      <c r="B163" s="20">
        <v>110.9</v>
      </c>
      <c r="C163" s="4">
        <v>30.599</v>
      </c>
      <c r="D163" s="43">
        <f t="shared" si="9"/>
        <v>83.401</v>
      </c>
      <c r="E163" s="43">
        <f t="shared" si="11"/>
        <v>36.855659001234145</v>
      </c>
      <c r="F163" s="43">
        <f t="shared" si="10"/>
        <v>90.73833690050371</v>
      </c>
      <c r="G163" s="43">
        <f t="shared" si="8"/>
        <v>1222.1956428582544</v>
      </c>
      <c r="H163" s="4">
        <v>50.253</v>
      </c>
    </row>
    <row r="164" spans="1:8" ht="12.75">
      <c r="A164" s="5">
        <v>50</v>
      </c>
      <c r="B164" s="20">
        <v>116.6</v>
      </c>
      <c r="C164" s="4">
        <v>25.584</v>
      </c>
      <c r="D164" s="43">
        <f t="shared" si="9"/>
        <v>88.416</v>
      </c>
      <c r="E164" s="43">
        <f t="shared" si="11"/>
        <v>36.94318948517546</v>
      </c>
      <c r="F164" s="43">
        <f t="shared" si="10"/>
        <v>96.42012929408185</v>
      </c>
      <c r="G164" s="43">
        <f t="shared" si="8"/>
        <v>1209.2910562727982</v>
      </c>
      <c r="H164" s="4">
        <v>51.067</v>
      </c>
    </row>
    <row r="165" spans="1:8" ht="12.75">
      <c r="A165" s="5">
        <v>50</v>
      </c>
      <c r="B165" s="20">
        <v>114.3</v>
      </c>
      <c r="C165" s="4">
        <v>25.98</v>
      </c>
      <c r="D165" s="43">
        <f t="shared" si="9"/>
        <v>88.02</v>
      </c>
      <c r="E165" s="43">
        <f t="shared" si="11"/>
        <v>36.936277805885176</v>
      </c>
      <c r="F165" s="43">
        <f t="shared" si="10"/>
        <v>95.97053386403117</v>
      </c>
      <c r="G165" s="43">
        <f t="shared" si="8"/>
        <v>1190.990561352275</v>
      </c>
      <c r="H165" s="4">
        <v>50.756</v>
      </c>
    </row>
    <row r="166" spans="1:8" ht="12.75">
      <c r="A166" s="5">
        <v>80</v>
      </c>
      <c r="B166" s="20">
        <v>103.8</v>
      </c>
      <c r="C166" s="4">
        <v>30.506</v>
      </c>
      <c r="D166" s="43">
        <f t="shared" si="9"/>
        <v>83.494</v>
      </c>
      <c r="E166" s="43">
        <f t="shared" si="11"/>
        <v>36.857282198643226</v>
      </c>
      <c r="F166" s="43">
        <f t="shared" si="10"/>
        <v>90.84346621148102</v>
      </c>
      <c r="G166" s="43">
        <f t="shared" si="8"/>
        <v>1142.6248284973688</v>
      </c>
      <c r="H166" s="4">
        <v>82.128</v>
      </c>
    </row>
    <row r="167" spans="1:8" ht="12.75">
      <c r="A167" s="5">
        <v>80</v>
      </c>
      <c r="B167" s="20">
        <v>108</v>
      </c>
      <c r="C167" s="4">
        <v>31.467</v>
      </c>
      <c r="D167" s="43">
        <f t="shared" si="9"/>
        <v>82.533</v>
      </c>
      <c r="E167" s="43">
        <f t="shared" si="11"/>
        <v>36.84050915874939</v>
      </c>
      <c r="F167" s="43">
        <f t="shared" si="10"/>
        <v>89.75755954411655</v>
      </c>
      <c r="G167" s="43">
        <f t="shared" si="8"/>
        <v>1203.2412706911573</v>
      </c>
      <c r="H167" s="4">
        <v>81.541</v>
      </c>
    </row>
    <row r="168" spans="1:8" ht="12.75">
      <c r="A168" s="5">
        <v>80</v>
      </c>
      <c r="B168" s="20">
        <v>110.9</v>
      </c>
      <c r="C168" s="4">
        <v>31.814</v>
      </c>
      <c r="D168" s="43">
        <f t="shared" si="9"/>
        <v>82.186</v>
      </c>
      <c r="E168" s="43">
        <f t="shared" si="11"/>
        <v>36.8344527125026</v>
      </c>
      <c r="F168" s="43">
        <f t="shared" si="10"/>
        <v>89.36569164945038</v>
      </c>
      <c r="G168" s="43">
        <f t="shared" si="8"/>
        <v>1240.9684069253444</v>
      </c>
      <c r="H168" s="4">
        <v>81.272</v>
      </c>
    </row>
    <row r="169" spans="1:8" ht="12.75">
      <c r="A169" s="5">
        <v>80</v>
      </c>
      <c r="B169" s="20">
        <v>116.6</v>
      </c>
      <c r="C169" s="4">
        <v>27.415</v>
      </c>
      <c r="D169" s="43">
        <f t="shared" si="9"/>
        <v>86.58500000000001</v>
      </c>
      <c r="E169" s="43">
        <f t="shared" si="11"/>
        <v>36.9112316953257</v>
      </c>
      <c r="F169" s="43">
        <f t="shared" si="10"/>
        <v>94.34267397635048</v>
      </c>
      <c r="G169" s="43">
        <f t="shared" si="8"/>
        <v>1235.920025218163</v>
      </c>
      <c r="H169" s="4">
        <v>80.583</v>
      </c>
    </row>
    <row r="170" spans="1:8" ht="12.75">
      <c r="A170" s="5">
        <v>80</v>
      </c>
      <c r="B170" s="20">
        <v>114.3</v>
      </c>
      <c r="C170" s="4">
        <v>29.318</v>
      </c>
      <c r="D170" s="43">
        <f t="shared" si="9"/>
        <v>84.682</v>
      </c>
      <c r="E170" s="43">
        <f t="shared" si="11"/>
        <v>36.87801723651407</v>
      </c>
      <c r="F170" s="43">
        <f t="shared" si="10"/>
        <v>92.18719230637136</v>
      </c>
      <c r="G170" s="43">
        <f t="shared" si="8"/>
        <v>1239.8685450809674</v>
      </c>
      <c r="H170" s="4">
        <v>80.385</v>
      </c>
    </row>
    <row r="171" spans="1:8" ht="12.75">
      <c r="A171" s="5">
        <v>100</v>
      </c>
      <c r="B171" s="20">
        <v>117</v>
      </c>
      <c r="C171" s="4">
        <v>27.474</v>
      </c>
      <c r="D171" s="43">
        <f t="shared" si="9"/>
        <v>86.526</v>
      </c>
      <c r="E171" s="43">
        <f t="shared" si="11"/>
        <v>36.91020192492639</v>
      </c>
      <c r="F171" s="43">
        <f t="shared" si="10"/>
        <v>94.27579001860445</v>
      </c>
      <c r="G171" s="43">
        <f t="shared" si="8"/>
        <v>1241.0397194965021</v>
      </c>
      <c r="H171" s="4">
        <v>101.125</v>
      </c>
    </row>
    <row r="172" spans="1:8" ht="12.75">
      <c r="A172" s="5">
        <v>100</v>
      </c>
      <c r="B172" s="20">
        <v>111.8</v>
      </c>
      <c r="C172" s="4">
        <v>32.325</v>
      </c>
      <c r="D172" s="43">
        <f t="shared" si="9"/>
        <v>81.675</v>
      </c>
      <c r="E172" s="43">
        <f t="shared" si="11"/>
        <v>36.82553385362045</v>
      </c>
      <c r="F172" s="43">
        <f t="shared" si="10"/>
        <v>88.7888438476377</v>
      </c>
      <c r="G172" s="43">
        <f t="shared" si="8"/>
        <v>1259.1672011390262</v>
      </c>
      <c r="H172" s="4">
        <v>101.203</v>
      </c>
    </row>
    <row r="173" spans="1:8" ht="12.75">
      <c r="A173" s="5">
        <v>100</v>
      </c>
      <c r="B173" s="20">
        <v>109.3</v>
      </c>
      <c r="C173" s="4">
        <v>32.786</v>
      </c>
      <c r="D173" s="43">
        <f t="shared" si="9"/>
        <v>81.214</v>
      </c>
      <c r="E173" s="43">
        <f t="shared" si="11"/>
        <v>36.81748768151737</v>
      </c>
      <c r="F173" s="43">
        <f t="shared" si="10"/>
        <v>88.26866966959895</v>
      </c>
      <c r="G173" s="43">
        <f t="shared" si="8"/>
        <v>1238.2649518693784</v>
      </c>
      <c r="H173" s="4">
        <v>100.359</v>
      </c>
    </row>
    <row r="174" spans="1:8" ht="12.75">
      <c r="A174" s="5">
        <v>100</v>
      </c>
      <c r="B174" s="20">
        <v>105.5</v>
      </c>
      <c r="C174" s="4">
        <v>29.443</v>
      </c>
      <c r="D174" s="43">
        <f t="shared" si="9"/>
        <v>84.557</v>
      </c>
      <c r="E174" s="43">
        <f t="shared" si="11"/>
        <v>36.87583551956638</v>
      </c>
      <c r="F174" s="43">
        <f t="shared" si="10"/>
        <v>92.04573852570454</v>
      </c>
      <c r="G174" s="43">
        <f t="shared" si="8"/>
        <v>1146.169303324545</v>
      </c>
      <c r="H174" s="4">
        <v>101.474</v>
      </c>
    </row>
    <row r="175" spans="1:8" ht="12.75">
      <c r="A175" s="5">
        <v>100</v>
      </c>
      <c r="B175" s="20">
        <v>107.6</v>
      </c>
      <c r="C175" s="4">
        <v>26.495</v>
      </c>
      <c r="D175" s="43">
        <f t="shared" si="9"/>
        <v>87.505</v>
      </c>
      <c r="E175" s="43">
        <f t="shared" si="11"/>
        <v>36.92728913206069</v>
      </c>
      <c r="F175" s="43">
        <f t="shared" si="10"/>
        <v>95.38607487671797</v>
      </c>
      <c r="G175" s="43">
        <f t="shared" si="8"/>
        <v>1128.0472557348435</v>
      </c>
      <c r="H175" s="4">
        <v>100.794</v>
      </c>
    </row>
    <row r="176" spans="1:8" ht="12.75">
      <c r="A176" s="5">
        <v>125</v>
      </c>
      <c r="B176" s="20">
        <v>109.2</v>
      </c>
      <c r="C176" s="4">
        <v>35.267</v>
      </c>
      <c r="D176" s="43">
        <f t="shared" si="9"/>
        <v>78.733</v>
      </c>
      <c r="E176" s="43">
        <f t="shared" si="11"/>
        <v>36.774184963539625</v>
      </c>
      <c r="F176" s="43">
        <f t="shared" si="10"/>
        <v>85.47296148059655</v>
      </c>
      <c r="G176" s="43">
        <f t="shared" si="8"/>
        <v>1277.597009725582</v>
      </c>
      <c r="H176" s="4">
        <v>127.447</v>
      </c>
    </row>
    <row r="177" spans="1:8" ht="12.75">
      <c r="A177" s="5">
        <v>125</v>
      </c>
      <c r="B177" s="20">
        <v>101.2</v>
      </c>
      <c r="C177" s="4">
        <v>41.772</v>
      </c>
      <c r="D177" s="43">
        <f t="shared" si="9"/>
        <v>72.22800000000001</v>
      </c>
      <c r="E177" s="43">
        <f t="shared" si="11"/>
        <v>36.66064841358185</v>
      </c>
      <c r="F177" s="43">
        <f t="shared" si="10"/>
        <v>78.17284026520073</v>
      </c>
      <c r="G177" s="43">
        <f t="shared" si="8"/>
        <v>1294.5672647517963</v>
      </c>
      <c r="H177" s="4">
        <v>126.813</v>
      </c>
    </row>
    <row r="178" spans="1:8" ht="12.75">
      <c r="A178" s="5">
        <v>125</v>
      </c>
      <c r="B178" s="20">
        <v>106.3</v>
      </c>
      <c r="C178" s="4">
        <v>38.275</v>
      </c>
      <c r="D178" s="43">
        <f t="shared" si="9"/>
        <v>75.725</v>
      </c>
      <c r="E178" s="43">
        <f t="shared" si="11"/>
        <v>36.72168412691042</v>
      </c>
      <c r="F178" s="43">
        <f t="shared" si="10"/>
        <v>82.09188897682421</v>
      </c>
      <c r="G178" s="43">
        <f t="shared" si="8"/>
        <v>1294.8904127423614</v>
      </c>
      <c r="H178" s="4">
        <v>126.5</v>
      </c>
    </row>
    <row r="179" spans="1:8" ht="12.75">
      <c r="A179" s="5">
        <v>125</v>
      </c>
      <c r="B179" s="20">
        <v>114.4</v>
      </c>
      <c r="C179" s="4">
        <v>29.893</v>
      </c>
      <c r="D179" s="43">
        <f t="shared" si="9"/>
        <v>84.107</v>
      </c>
      <c r="E179" s="43">
        <f t="shared" si="11"/>
        <v>36.8679813385547</v>
      </c>
      <c r="F179" s="43">
        <f t="shared" si="10"/>
        <v>91.53663823990975</v>
      </c>
      <c r="G179" s="43">
        <f t="shared" si="8"/>
        <v>1249.7727926184848</v>
      </c>
      <c r="H179" s="4">
        <v>125.783</v>
      </c>
    </row>
    <row r="180" spans="1:8" ht="12.75">
      <c r="A180" s="5">
        <v>125</v>
      </c>
      <c r="B180" s="20">
        <v>115.1</v>
      </c>
      <c r="C180" s="4">
        <v>30.692</v>
      </c>
      <c r="D180" s="43">
        <f t="shared" si="9"/>
        <v>83.30799999999999</v>
      </c>
      <c r="E180" s="43">
        <f t="shared" si="11"/>
        <v>36.85403580382506</v>
      </c>
      <c r="F180" s="43">
        <f t="shared" si="10"/>
        <v>90.63321649823234</v>
      </c>
      <c r="G180" s="43">
        <f t="shared" si="8"/>
        <v>1269.95382539739</v>
      </c>
      <c r="H180" s="4">
        <v>127.566</v>
      </c>
    </row>
    <row r="181" spans="1:8" ht="12.75">
      <c r="A181" s="5">
        <v>150</v>
      </c>
      <c r="B181" s="20">
        <v>110.4</v>
      </c>
      <c r="C181" s="4">
        <v>34.942</v>
      </c>
      <c r="D181" s="43">
        <f t="shared" si="9"/>
        <v>79.05799999999999</v>
      </c>
      <c r="E181" s="43">
        <f t="shared" si="11"/>
        <v>36.779857427603616</v>
      </c>
      <c r="F181" s="43">
        <f t="shared" si="10"/>
        <v>85.83882661343434</v>
      </c>
      <c r="G181" s="43">
        <f t="shared" si="8"/>
        <v>1286.1312806286855</v>
      </c>
      <c r="H181" s="4">
        <v>150.693</v>
      </c>
    </row>
    <row r="182" spans="1:8" ht="12.75">
      <c r="A182" s="5">
        <v>150</v>
      </c>
      <c r="B182" s="20">
        <v>105.6</v>
      </c>
      <c r="C182" s="4">
        <v>38.617</v>
      </c>
      <c r="D182" s="43">
        <f t="shared" si="9"/>
        <v>75.38300000000001</v>
      </c>
      <c r="E182" s="43">
        <f t="shared" si="11"/>
        <v>36.71571494934154</v>
      </c>
      <c r="F182" s="43">
        <f t="shared" si="10"/>
        <v>81.70806001534406</v>
      </c>
      <c r="G182" s="43">
        <f t="shared" si="8"/>
        <v>1292.406158953832</v>
      </c>
      <c r="H182" s="4">
        <v>152.744</v>
      </c>
    </row>
    <row r="183" spans="1:8" ht="12.75">
      <c r="A183" s="5">
        <v>150</v>
      </c>
      <c r="B183" s="20">
        <v>97.6</v>
      </c>
      <c r="C183" s="4">
        <v>45.465</v>
      </c>
      <c r="D183" s="43">
        <f t="shared" si="9"/>
        <v>68.535</v>
      </c>
      <c r="E183" s="43">
        <f t="shared" si="11"/>
        <v>36.59619176807931</v>
      </c>
      <c r="F183" s="43">
        <f t="shared" si="10"/>
        <v>74.04774017699383</v>
      </c>
      <c r="G183" s="43">
        <f t="shared" si="8"/>
        <v>1318.0685834126741</v>
      </c>
      <c r="H183" s="4">
        <v>153.021</v>
      </c>
    </row>
    <row r="184" spans="1:8" ht="12.75">
      <c r="A184" s="5">
        <v>150</v>
      </c>
      <c r="B184" s="20">
        <v>113.7</v>
      </c>
      <c r="C184" s="4">
        <v>31.78</v>
      </c>
      <c r="D184" s="43">
        <f t="shared" si="9"/>
        <v>82.22</v>
      </c>
      <c r="E184" s="43">
        <f t="shared" si="11"/>
        <v>36.83504613951237</v>
      </c>
      <c r="F184" s="43">
        <f t="shared" si="10"/>
        <v>89.40408244930758</v>
      </c>
      <c r="G184" s="43">
        <f t="shared" si="8"/>
        <v>1271.754005914308</v>
      </c>
      <c r="H184" s="4">
        <v>153.232</v>
      </c>
    </row>
    <row r="185" spans="1:8" ht="12.75">
      <c r="A185" s="5">
        <v>150</v>
      </c>
      <c r="B185" s="20">
        <v>115.4</v>
      </c>
      <c r="C185" s="4">
        <v>31.795</v>
      </c>
      <c r="D185" s="43">
        <f t="shared" si="9"/>
        <v>82.205</v>
      </c>
      <c r="E185" s="43">
        <f t="shared" si="11"/>
        <v>36.83478433347865</v>
      </c>
      <c r="F185" s="43">
        <f t="shared" si="10"/>
        <v>89.38714518502623</v>
      </c>
      <c r="G185" s="43">
        <f t="shared" si="8"/>
        <v>1291.013375146154</v>
      </c>
      <c r="H185" s="4">
        <v>152.248</v>
      </c>
    </row>
    <row r="186" spans="1:8" ht="12.75">
      <c r="A186" s="5">
        <v>200</v>
      </c>
      <c r="B186" s="20">
        <v>113.8</v>
      </c>
      <c r="C186" s="4">
        <v>34.796</v>
      </c>
      <c r="D186" s="43">
        <f t="shared" si="9"/>
        <v>79.20400000000001</v>
      </c>
      <c r="E186" s="43">
        <f t="shared" si="11"/>
        <v>36.782405672998514</v>
      </c>
      <c r="F186" s="43">
        <f t="shared" si="10"/>
        <v>86.00321983152223</v>
      </c>
      <c r="G186" s="43">
        <f t="shared" si="8"/>
        <v>1323.2062732410582</v>
      </c>
      <c r="H186" s="4">
        <v>204.002</v>
      </c>
    </row>
    <row r="187" spans="1:8" ht="12.75">
      <c r="A187" s="5">
        <v>200</v>
      </c>
      <c r="B187" s="20">
        <v>107.3</v>
      </c>
      <c r="C187" s="4">
        <v>38.84</v>
      </c>
      <c r="D187" s="43">
        <f t="shared" si="9"/>
        <v>75.16</v>
      </c>
      <c r="E187" s="43">
        <f t="shared" si="11"/>
        <v>36.71182276630686</v>
      </c>
      <c r="F187" s="43">
        <f t="shared" si="10"/>
        <v>81.4578502243047</v>
      </c>
      <c r="G187" s="43">
        <f t="shared" si="8"/>
        <v>1317.2456639174197</v>
      </c>
      <c r="H187" s="4">
        <v>204.842</v>
      </c>
    </row>
    <row r="188" spans="1:8" ht="12.75">
      <c r="A188" s="5">
        <v>200</v>
      </c>
      <c r="B188" s="20">
        <v>113.6</v>
      </c>
      <c r="C188" s="4">
        <v>34.125</v>
      </c>
      <c r="D188" s="43">
        <f t="shared" si="9"/>
        <v>79.875</v>
      </c>
      <c r="E188" s="43">
        <f t="shared" si="11"/>
        <v>36.79411712957371</v>
      </c>
      <c r="F188" s="43">
        <f t="shared" si="10"/>
        <v>86.75903485297246</v>
      </c>
      <c r="G188" s="43">
        <f t="shared" si="8"/>
        <v>1309.3737175904964</v>
      </c>
      <c r="H188" s="4">
        <v>201.388</v>
      </c>
    </row>
    <row r="189" spans="1:8" ht="12.75">
      <c r="A189" s="5">
        <v>200</v>
      </c>
      <c r="B189" s="20">
        <v>116.9</v>
      </c>
      <c r="C189" s="4">
        <v>31.349</v>
      </c>
      <c r="D189" s="43">
        <f t="shared" si="9"/>
        <v>82.651</v>
      </c>
      <c r="E189" s="43">
        <f t="shared" si="11"/>
        <v>36.84256869954801</v>
      </c>
      <c r="F189" s="43">
        <f t="shared" si="10"/>
        <v>89.89084546075634</v>
      </c>
      <c r="G189" s="43">
        <f t="shared" si="8"/>
        <v>1300.4661309035641</v>
      </c>
      <c r="H189" s="4">
        <v>207.23</v>
      </c>
    </row>
    <row r="190" spans="1:8" ht="12.75">
      <c r="A190" s="5">
        <v>200</v>
      </c>
      <c r="B190" s="20">
        <v>114.5</v>
      </c>
      <c r="C190" s="4">
        <v>32.531</v>
      </c>
      <c r="D190" s="43">
        <f t="shared" si="9"/>
        <v>81.469</v>
      </c>
      <c r="E190" s="43">
        <f t="shared" si="11"/>
        <v>36.82193838409066</v>
      </c>
      <c r="F190" s="43">
        <f t="shared" si="10"/>
        <v>88.55637456101417</v>
      </c>
      <c r="G190" s="43">
        <f t="shared" si="8"/>
        <v>1292.9616932444656</v>
      </c>
      <c r="H190" s="4">
        <v>200.511</v>
      </c>
    </row>
    <row r="191" spans="1:8" ht="12.75">
      <c r="A191" s="5">
        <v>300</v>
      </c>
      <c r="B191" s="20">
        <v>107</v>
      </c>
      <c r="C191" s="4">
        <v>39.834</v>
      </c>
      <c r="D191" s="43">
        <f t="shared" si="9"/>
        <v>74.166</v>
      </c>
      <c r="E191" s="43">
        <f t="shared" si="11"/>
        <v>36.69447375313883</v>
      </c>
      <c r="F191" s="43">
        <f t="shared" si="10"/>
        <v>80.34318587877164</v>
      </c>
      <c r="G191" s="43">
        <f t="shared" si="8"/>
        <v>1331.786869411058</v>
      </c>
      <c r="H191" s="4">
        <v>306.888</v>
      </c>
    </row>
    <row r="192" spans="1:8" ht="12.75">
      <c r="A192" s="5">
        <v>300</v>
      </c>
      <c r="B192" s="20">
        <v>105.7</v>
      </c>
      <c r="C192" s="4">
        <v>41.353</v>
      </c>
      <c r="D192" s="43">
        <f t="shared" si="9"/>
        <v>72.64699999999999</v>
      </c>
      <c r="E192" s="43">
        <f t="shared" si="11"/>
        <v>36.66796152879051</v>
      </c>
      <c r="F192" s="43">
        <f t="shared" si="10"/>
        <v>78.64174770923597</v>
      </c>
      <c r="G192" s="43">
        <f t="shared" si="8"/>
        <v>1344.0698239668727</v>
      </c>
      <c r="H192" s="4">
        <v>306.778</v>
      </c>
    </row>
    <row r="193" spans="1:8" ht="12.75">
      <c r="A193" s="5">
        <v>300</v>
      </c>
      <c r="B193" s="20">
        <v>111.4</v>
      </c>
      <c r="C193" s="4">
        <v>37.434</v>
      </c>
      <c r="D193" s="43">
        <f t="shared" si="9"/>
        <v>76.566</v>
      </c>
      <c r="E193" s="43">
        <f t="shared" si="11"/>
        <v>36.73636271853447</v>
      </c>
      <c r="F193" s="43">
        <f t="shared" si="10"/>
        <v>83.03625968578837</v>
      </c>
      <c r="G193" s="43">
        <f t="shared" si="8"/>
        <v>1341.5825859876259</v>
      </c>
      <c r="H193" s="4">
        <v>305.352</v>
      </c>
    </row>
    <row r="194" spans="1:8" ht="12.75">
      <c r="A194" s="5">
        <v>300</v>
      </c>
      <c r="B194" s="20">
        <v>114.2</v>
      </c>
      <c r="C194" s="4">
        <v>34.449</v>
      </c>
      <c r="D194" s="43">
        <f t="shared" si="9"/>
        <v>79.551</v>
      </c>
      <c r="E194" s="43">
        <f t="shared" si="11"/>
        <v>36.7884621192453</v>
      </c>
      <c r="F194" s="43">
        <f t="shared" si="10"/>
        <v>86.39402315466043</v>
      </c>
      <c r="G194" s="43">
        <f t="shared" si="8"/>
        <v>1321.8507001990404</v>
      </c>
      <c r="H194" s="4">
        <v>301.032</v>
      </c>
    </row>
    <row r="195" spans="1:8" ht="12.75">
      <c r="A195" s="5">
        <v>300</v>
      </c>
      <c r="B195" s="20">
        <v>116.1</v>
      </c>
      <c r="C195" s="4">
        <v>34.727</v>
      </c>
      <c r="D195" s="43">
        <f t="shared" si="9"/>
        <v>79.273</v>
      </c>
      <c r="E195" s="43">
        <f t="shared" si="11"/>
        <v>36.78360998075364</v>
      </c>
      <c r="F195" s="43">
        <f t="shared" si="10"/>
        <v>86.08092014203001</v>
      </c>
      <c r="G195" s="43">
        <f t="shared" si="8"/>
        <v>1348.7309360592305</v>
      </c>
      <c r="H195" s="4">
        <v>305.804</v>
      </c>
    </row>
    <row r="196" spans="1:8" ht="12.75">
      <c r="A196" s="5">
        <v>450</v>
      </c>
      <c r="B196" s="20">
        <v>103.2</v>
      </c>
      <c r="C196" s="4">
        <v>43.806</v>
      </c>
      <c r="D196" s="43">
        <f t="shared" si="9"/>
        <v>70.194</v>
      </c>
      <c r="E196" s="43">
        <f t="shared" si="11"/>
        <v>36.62514751540904</v>
      </c>
      <c r="F196" s="43">
        <f t="shared" si="10"/>
        <v>75.899124443285</v>
      </c>
      <c r="G196" s="43">
        <f>(1000*B196)/F196</f>
        <v>1359.6994794994685</v>
      </c>
      <c r="H196" s="4">
        <v>444.375</v>
      </c>
    </row>
    <row r="197" spans="1:8" ht="12.75">
      <c r="A197" s="5">
        <v>450</v>
      </c>
      <c r="B197" s="20">
        <v>105.3</v>
      </c>
      <c r="C197" s="4">
        <v>43.546</v>
      </c>
      <c r="D197" s="43">
        <f>114-C197</f>
        <v>70.45400000000001</v>
      </c>
      <c r="E197" s="43">
        <f t="shared" si="11"/>
        <v>36.629685486660236</v>
      </c>
      <c r="F197" s="43">
        <f>(((3.14*D197)/12)*(37.6^2+37.6*E197+E197^2))*10^-3</f>
        <v>76.18953041123696</v>
      </c>
      <c r="G197" s="43">
        <f>(1000*B197)/F197</f>
        <v>1382.0796562419766</v>
      </c>
      <c r="H197" s="4">
        <v>451.15</v>
      </c>
    </row>
    <row r="198" spans="1:8" ht="12.75">
      <c r="A198" s="5">
        <v>450</v>
      </c>
      <c r="B198" s="20">
        <v>108.1</v>
      </c>
      <c r="C198" s="4">
        <v>41.611</v>
      </c>
      <c r="D198" s="43">
        <f>114-C198</f>
        <v>72.38900000000001</v>
      </c>
      <c r="E198" s="43">
        <f t="shared" si="11"/>
        <v>36.66345846501047</v>
      </c>
      <c r="F198" s="43">
        <f>(((3.14*D198)/12)*(37.6^2+37.6*E198+E198^2))*10^-3</f>
        <v>78.35299582766545</v>
      </c>
      <c r="G198" s="43">
        <f>(1000*B198)/F198</f>
        <v>1379.6536923458805</v>
      </c>
      <c r="H198" s="4">
        <v>459.824</v>
      </c>
    </row>
    <row r="199" spans="1:8" ht="12.75">
      <c r="A199" s="5">
        <v>450</v>
      </c>
      <c r="B199" s="20">
        <v>104.6</v>
      </c>
      <c r="C199" s="4">
        <v>36.105</v>
      </c>
      <c r="D199" s="43">
        <f>114-C199</f>
        <v>77.89500000000001</v>
      </c>
      <c r="E199" s="43">
        <f>2*(TAN(RADIANS(0.5))*D199+17.7)</f>
        <v>36.75955873312231</v>
      </c>
      <c r="F199" s="43">
        <f>(((3.14*D199)/12)*(37.6^2+37.6*E199+E199^2))*10^-3</f>
        <v>84.5300931087314</v>
      </c>
      <c r="G199" s="43">
        <f>(1000*B199)/F199</f>
        <v>1237.4291350354079</v>
      </c>
      <c r="H199" s="4">
        <v>450.987</v>
      </c>
    </row>
    <row r="200" spans="1:8" ht="12.75">
      <c r="A200" s="5">
        <v>450</v>
      </c>
      <c r="B200" s="20">
        <v>103</v>
      </c>
      <c r="C200" s="4">
        <v>36.294</v>
      </c>
      <c r="D200" s="43">
        <f>114-C200</f>
        <v>77.706</v>
      </c>
      <c r="E200" s="43">
        <f>2*(TAN(RADIANS(0.5))*D200+17.7)</f>
        <v>36.7562599770974</v>
      </c>
      <c r="F200" s="43">
        <f>(((3.14*D200)/12)*(37.6^2+37.6*E200+E200^2))*10^-3</f>
        <v>84.31754113165833</v>
      </c>
      <c r="G200" s="43">
        <f>(1000*B200)/F200</f>
        <v>1221.572624362584</v>
      </c>
      <c r="H200" s="4">
        <v>450.337</v>
      </c>
    </row>
    <row r="201" spans="3:8" ht="12.75">
      <c r="C201" s="36"/>
      <c r="D201" s="44"/>
      <c r="E201" s="44"/>
      <c r="F201" s="44"/>
      <c r="G201" s="44"/>
      <c r="H201" s="36"/>
    </row>
    <row r="202" spans="3:8" ht="12.75">
      <c r="C202" s="36"/>
      <c r="D202" s="44"/>
      <c r="E202" s="44"/>
      <c r="F202" s="44"/>
      <c r="G202" s="44"/>
      <c r="H202" s="36"/>
    </row>
    <row r="203" spans="1:7" ht="15.75">
      <c r="A203" s="1" t="s">
        <v>62</v>
      </c>
      <c r="B203" s="2"/>
      <c r="C203" s="2"/>
      <c r="D203" s="2"/>
      <c r="E203" s="2"/>
      <c r="F203" s="2"/>
      <c r="G203" s="2"/>
    </row>
    <row r="204" spans="3:8" ht="12.75">
      <c r="C204" s="36"/>
      <c r="D204" s="44"/>
      <c r="E204" s="44"/>
      <c r="F204" s="44"/>
      <c r="G204" s="44"/>
      <c r="H204" s="36"/>
    </row>
    <row r="205" spans="1:8" ht="12.75">
      <c r="A205" s="4">
        <v>20</v>
      </c>
      <c r="B205" s="4">
        <v>103</v>
      </c>
      <c r="C205" s="4">
        <v>31.691</v>
      </c>
      <c r="D205" s="43">
        <f aca="true" t="shared" si="12" ref="D205:D268">114-C205</f>
        <v>82.309</v>
      </c>
      <c r="E205" s="43">
        <f aca="true" t="shared" si="13" ref="E205:E268">2*(TAN(RADIANS(0.5))*D205+17.7)</f>
        <v>36.83659952197913</v>
      </c>
      <c r="F205" s="43">
        <f aca="true" t="shared" si="14" ref="F205:F268">(((3.14*D205)/12)*(37.6^2+37.6*E205+E205^2))*10^-3</f>
        <v>89.50458164845041</v>
      </c>
      <c r="G205" s="43">
        <f aca="true" t="shared" si="15" ref="G205:G268">(1000*B205)/F205</f>
        <v>1150.7790786013159</v>
      </c>
      <c r="H205" s="4">
        <v>20.021</v>
      </c>
    </row>
    <row r="206" spans="1:8" ht="12.75">
      <c r="A206" s="4">
        <v>20</v>
      </c>
      <c r="B206" s="4">
        <v>101.1</v>
      </c>
      <c r="C206" s="4">
        <v>33.156</v>
      </c>
      <c r="D206" s="43">
        <f t="shared" si="12"/>
        <v>80.844</v>
      </c>
      <c r="E206" s="43">
        <f t="shared" si="13"/>
        <v>36.811029799352205</v>
      </c>
      <c r="F206" s="43">
        <f t="shared" si="14"/>
        <v>87.85133448727063</v>
      </c>
      <c r="G206" s="43">
        <f t="shared" si="15"/>
        <v>1150.807788977287</v>
      </c>
      <c r="H206" s="4">
        <v>20.031</v>
      </c>
    </row>
    <row r="207" spans="1:8" ht="12.75">
      <c r="A207" s="4">
        <v>20</v>
      </c>
      <c r="B207" s="4">
        <v>100.7</v>
      </c>
      <c r="C207" s="4">
        <v>32.434</v>
      </c>
      <c r="D207" s="43">
        <f t="shared" si="12"/>
        <v>81.566</v>
      </c>
      <c r="E207" s="43">
        <f t="shared" si="13"/>
        <v>36.82363139644206</v>
      </c>
      <c r="F207" s="43">
        <f t="shared" si="14"/>
        <v>88.66583281362036</v>
      </c>
      <c r="G207" s="43">
        <f t="shared" si="15"/>
        <v>1135.7249664780798</v>
      </c>
      <c r="H207" s="4">
        <v>20.02</v>
      </c>
    </row>
    <row r="208" spans="1:8" ht="12.75">
      <c r="A208" s="4">
        <v>20</v>
      </c>
      <c r="B208" s="4">
        <v>97.4</v>
      </c>
      <c r="C208" s="4">
        <v>36.166</v>
      </c>
      <c r="D208" s="43">
        <f t="shared" si="12"/>
        <v>77.834</v>
      </c>
      <c r="E208" s="43">
        <f t="shared" si="13"/>
        <v>36.75849405525184</v>
      </c>
      <c r="F208" s="43">
        <f t="shared" si="14"/>
        <v>84.46148766618747</v>
      </c>
      <c r="G208" s="43">
        <f t="shared" si="15"/>
        <v>1153.1883073732813</v>
      </c>
      <c r="H208" s="4">
        <v>20.002</v>
      </c>
    </row>
    <row r="209" spans="1:8" ht="12.75">
      <c r="A209" s="4">
        <v>20</v>
      </c>
      <c r="B209" s="4">
        <v>99.8</v>
      </c>
      <c r="C209" s="4">
        <v>33.973</v>
      </c>
      <c r="D209" s="43">
        <f t="shared" si="12"/>
        <v>80.027</v>
      </c>
      <c r="E209" s="43">
        <f t="shared" si="13"/>
        <v>36.79677009738211</v>
      </c>
      <c r="F209" s="43">
        <f t="shared" si="14"/>
        <v>86.93031210923876</v>
      </c>
      <c r="G209" s="43">
        <f t="shared" si="15"/>
        <v>1148.0460334087938</v>
      </c>
      <c r="H209" s="4">
        <v>20.017</v>
      </c>
    </row>
    <row r="210" spans="1:8" ht="12.75">
      <c r="A210" s="4">
        <v>50</v>
      </c>
      <c r="B210" s="4">
        <v>98.3</v>
      </c>
      <c r="C210" s="4">
        <v>39.111</v>
      </c>
      <c r="D210" s="43">
        <f t="shared" si="12"/>
        <v>74.88900000000001</v>
      </c>
      <c r="E210" s="43">
        <f t="shared" si="13"/>
        <v>36.70709280396427</v>
      </c>
      <c r="F210" s="43">
        <f t="shared" si="14"/>
        <v>81.1538522998519</v>
      </c>
      <c r="G210" s="43">
        <f t="shared" si="15"/>
        <v>1211.2795291195239</v>
      </c>
      <c r="H210" s="4">
        <v>50.186</v>
      </c>
    </row>
    <row r="211" spans="1:8" ht="12.75">
      <c r="A211" s="4">
        <v>50</v>
      </c>
      <c r="B211" s="4">
        <v>100.8</v>
      </c>
      <c r="C211" s="4">
        <v>38.426</v>
      </c>
      <c r="D211" s="43">
        <f t="shared" si="12"/>
        <v>75.574</v>
      </c>
      <c r="E211" s="43">
        <f t="shared" si="13"/>
        <v>36.71904861283761</v>
      </c>
      <c r="F211" s="43">
        <f t="shared" si="14"/>
        <v>81.9224058347483</v>
      </c>
      <c r="G211" s="43">
        <f t="shared" si="15"/>
        <v>1230.4326145319887</v>
      </c>
      <c r="H211" s="4">
        <v>50.005</v>
      </c>
    </row>
    <row r="212" spans="1:8" ht="12.75">
      <c r="A212" s="4">
        <v>50</v>
      </c>
      <c r="B212" s="4">
        <v>103.7</v>
      </c>
      <c r="C212" s="4">
        <v>35.511</v>
      </c>
      <c r="D212" s="43">
        <f t="shared" si="12"/>
        <v>78.489</v>
      </c>
      <c r="E212" s="43">
        <f t="shared" si="13"/>
        <v>36.76992625205773</v>
      </c>
      <c r="F212" s="43">
        <f t="shared" si="14"/>
        <v>85.19835254459967</v>
      </c>
      <c r="G212" s="43">
        <f t="shared" si="15"/>
        <v>1217.1596856372907</v>
      </c>
      <c r="H212" s="4">
        <v>50.419</v>
      </c>
    </row>
    <row r="213" spans="1:8" ht="12.75">
      <c r="A213" s="4">
        <v>50</v>
      </c>
      <c r="B213" s="4">
        <v>98.1</v>
      </c>
      <c r="C213" s="4">
        <v>39.857</v>
      </c>
      <c r="D213" s="43">
        <f t="shared" si="12"/>
        <v>74.143</v>
      </c>
      <c r="E213" s="43">
        <f t="shared" si="13"/>
        <v>36.69407231722046</v>
      </c>
      <c r="F213" s="43">
        <f t="shared" si="14"/>
        <v>80.31740584346876</v>
      </c>
      <c r="G213" s="43">
        <f t="shared" si="15"/>
        <v>1221.403990452429</v>
      </c>
      <c r="H213" s="4">
        <v>50.202</v>
      </c>
    </row>
    <row r="214" spans="1:8" ht="12.75">
      <c r="A214" s="4">
        <v>50</v>
      </c>
      <c r="B214" s="4">
        <v>96.2</v>
      </c>
      <c r="C214" s="4">
        <v>41.399</v>
      </c>
      <c r="D214" s="43">
        <f t="shared" si="12"/>
        <v>72.601</v>
      </c>
      <c r="E214" s="43">
        <f t="shared" si="13"/>
        <v>36.66715865695376</v>
      </c>
      <c r="F214" s="43">
        <f t="shared" si="14"/>
        <v>78.59025981852493</v>
      </c>
      <c r="G214" s="43">
        <f t="shared" si="15"/>
        <v>1224.07026293256</v>
      </c>
      <c r="H214" s="4">
        <v>50.194</v>
      </c>
    </row>
    <row r="215" spans="1:8" ht="12.75">
      <c r="A215" s="4">
        <v>80</v>
      </c>
      <c r="B215" s="4">
        <v>103.4</v>
      </c>
      <c r="C215" s="4">
        <v>38.507</v>
      </c>
      <c r="D215" s="43">
        <f t="shared" si="12"/>
        <v>75.493</v>
      </c>
      <c r="E215" s="43">
        <f t="shared" si="13"/>
        <v>36.71763486025551</v>
      </c>
      <c r="F215" s="43">
        <f t="shared" si="14"/>
        <v>81.83150067974884</v>
      </c>
      <c r="G215" s="43">
        <f t="shared" si="15"/>
        <v>1263.5720858237762</v>
      </c>
      <c r="H215" s="4">
        <v>80.372</v>
      </c>
    </row>
    <row r="216" spans="1:8" ht="12.75">
      <c r="A216" s="4">
        <v>80</v>
      </c>
      <c r="B216" s="4">
        <v>103.2</v>
      </c>
      <c r="C216" s="4">
        <v>39.04</v>
      </c>
      <c r="D216" s="43">
        <f t="shared" si="12"/>
        <v>74.96000000000001</v>
      </c>
      <c r="E216" s="43">
        <f t="shared" si="13"/>
        <v>36.70833201919056</v>
      </c>
      <c r="F216" s="43">
        <f t="shared" si="14"/>
        <v>81.23349022785517</v>
      </c>
      <c r="G216" s="43">
        <f t="shared" si="15"/>
        <v>1270.4119903075698</v>
      </c>
      <c r="H216" s="4">
        <v>80.494</v>
      </c>
    </row>
    <row r="217" spans="1:8" ht="12.75">
      <c r="A217" s="4">
        <v>80</v>
      </c>
      <c r="B217" s="4">
        <v>103.6</v>
      </c>
      <c r="C217" s="4">
        <v>38.308</v>
      </c>
      <c r="D217" s="43">
        <f t="shared" si="12"/>
        <v>75.69200000000001</v>
      </c>
      <c r="E217" s="43">
        <f t="shared" si="13"/>
        <v>36.72110815363623</v>
      </c>
      <c r="F217" s="43">
        <f t="shared" si="14"/>
        <v>82.05484761639057</v>
      </c>
      <c r="G217" s="43">
        <f t="shared" si="15"/>
        <v>1262.5701346047683</v>
      </c>
      <c r="H217" s="4">
        <v>80.185</v>
      </c>
    </row>
    <row r="218" spans="1:8" ht="12.75">
      <c r="A218" s="4">
        <v>80</v>
      </c>
      <c r="B218" s="4">
        <v>105.1</v>
      </c>
      <c r="C218" s="4">
        <v>38.556</v>
      </c>
      <c r="D218" s="43">
        <f t="shared" si="12"/>
        <v>75.444</v>
      </c>
      <c r="E218" s="43">
        <f t="shared" si="13"/>
        <v>36.71677962721201</v>
      </c>
      <c r="F218" s="43">
        <f t="shared" si="14"/>
        <v>81.77651194101043</v>
      </c>
      <c r="G218" s="43">
        <f t="shared" si="15"/>
        <v>1285.2101111357501</v>
      </c>
      <c r="H218" s="4">
        <v>80.484</v>
      </c>
    </row>
    <row r="219" spans="1:8" ht="12.75">
      <c r="A219" s="4">
        <v>80</v>
      </c>
      <c r="B219" s="4">
        <v>101.8</v>
      </c>
      <c r="C219" s="4">
        <v>38.938</v>
      </c>
      <c r="D219" s="43">
        <f t="shared" si="12"/>
        <v>75.062</v>
      </c>
      <c r="E219" s="43">
        <f t="shared" si="13"/>
        <v>36.71011230021987</v>
      </c>
      <c r="F219" s="43">
        <f t="shared" si="14"/>
        <v>81.34790869790488</v>
      </c>
      <c r="G219" s="43">
        <f t="shared" si="15"/>
        <v>1251.415084044095</v>
      </c>
      <c r="H219" s="4">
        <v>80.133</v>
      </c>
    </row>
    <row r="220" spans="1:8" ht="12.75">
      <c r="A220" s="4">
        <v>150</v>
      </c>
      <c r="B220" s="4">
        <v>106.5</v>
      </c>
      <c r="C220" s="4">
        <v>38.337</v>
      </c>
      <c r="D220" s="43">
        <f t="shared" si="12"/>
        <v>75.663</v>
      </c>
      <c r="E220" s="43">
        <f t="shared" si="13"/>
        <v>36.720601995304364</v>
      </c>
      <c r="F220" s="43">
        <f t="shared" si="14"/>
        <v>82.02229704050815</v>
      </c>
      <c r="G220" s="43">
        <f t="shared" si="15"/>
        <v>1298.4274257450154</v>
      </c>
      <c r="H220" s="4">
        <v>150.2</v>
      </c>
    </row>
    <row r="221" spans="1:8" ht="12.75">
      <c r="A221" s="4">
        <v>150</v>
      </c>
      <c r="B221" s="4">
        <v>100.7</v>
      </c>
      <c r="C221" s="4">
        <v>43.283</v>
      </c>
      <c r="D221" s="43">
        <f t="shared" si="12"/>
        <v>70.717</v>
      </c>
      <c r="E221" s="43">
        <f t="shared" si="13"/>
        <v>36.63427581911818</v>
      </c>
      <c r="F221" s="43">
        <f t="shared" si="14"/>
        <v>76.48335763105887</v>
      </c>
      <c r="G221" s="43">
        <f t="shared" si="15"/>
        <v>1316.626297785691</v>
      </c>
      <c r="H221" s="4">
        <v>150.259</v>
      </c>
    </row>
    <row r="222" spans="1:8" ht="12.75">
      <c r="A222" s="4">
        <v>150</v>
      </c>
      <c r="B222" s="4">
        <v>100.7</v>
      </c>
      <c r="C222" s="4">
        <v>42.143</v>
      </c>
      <c r="D222" s="43">
        <f t="shared" si="12"/>
        <v>71.857</v>
      </c>
      <c r="E222" s="43">
        <f t="shared" si="13"/>
        <v>36.65417307768111</v>
      </c>
      <c r="F222" s="43">
        <f t="shared" si="14"/>
        <v>77.75780030509273</v>
      </c>
      <c r="G222" s="43">
        <f t="shared" si="15"/>
        <v>1295.046922686735</v>
      </c>
      <c r="H222" s="4">
        <v>150.341</v>
      </c>
    </row>
    <row r="223" spans="1:8" ht="12.75">
      <c r="A223" s="4">
        <v>150</v>
      </c>
      <c r="B223" s="4">
        <v>102.1</v>
      </c>
      <c r="C223" s="4">
        <v>41.392</v>
      </c>
      <c r="D223" s="43">
        <f t="shared" si="12"/>
        <v>72.608</v>
      </c>
      <c r="E223" s="43">
        <f t="shared" si="13"/>
        <v>36.66728083310283</v>
      </c>
      <c r="F223" s="43">
        <f t="shared" si="14"/>
        <v>78.59809479243398</v>
      </c>
      <c r="G223" s="43">
        <f t="shared" si="15"/>
        <v>1299.01367545398</v>
      </c>
      <c r="H223" s="4">
        <v>150.343</v>
      </c>
    </row>
    <row r="224" spans="1:8" ht="12.75">
      <c r="A224" s="4">
        <v>150</v>
      </c>
      <c r="B224" s="4">
        <v>97.7</v>
      </c>
      <c r="C224" s="4">
        <v>45.082</v>
      </c>
      <c r="D224" s="43">
        <f t="shared" si="12"/>
        <v>68.918</v>
      </c>
      <c r="E224" s="43">
        <f t="shared" si="13"/>
        <v>36.602876548807025</v>
      </c>
      <c r="F224" s="43">
        <f t="shared" si="14"/>
        <v>74.47490435327838</v>
      </c>
      <c r="G224" s="43">
        <f t="shared" si="15"/>
        <v>1311.8512987482509</v>
      </c>
      <c r="H224" s="4">
        <v>150.407</v>
      </c>
    </row>
    <row r="225" spans="1:8" ht="12.75">
      <c r="A225" s="4">
        <v>300</v>
      </c>
      <c r="B225" s="4">
        <v>103.3</v>
      </c>
      <c r="C225" s="4">
        <v>44.9</v>
      </c>
      <c r="D225" s="43">
        <f t="shared" si="12"/>
        <v>69.1</v>
      </c>
      <c r="E225" s="43">
        <f t="shared" si="13"/>
        <v>36.606053128682866</v>
      </c>
      <c r="F225" s="43">
        <f t="shared" si="14"/>
        <v>74.67794358641278</v>
      </c>
      <c r="G225" s="43">
        <f t="shared" si="15"/>
        <v>1383.2732268593807</v>
      </c>
      <c r="H225" s="4">
        <v>300.877</v>
      </c>
    </row>
    <row r="226" spans="1:8" ht="12.75">
      <c r="A226" s="4">
        <v>300</v>
      </c>
      <c r="B226" s="4">
        <v>102.7</v>
      </c>
      <c r="C226" s="4">
        <v>44.929</v>
      </c>
      <c r="D226" s="43">
        <f t="shared" si="12"/>
        <v>69.071</v>
      </c>
      <c r="E226" s="43">
        <f t="shared" si="13"/>
        <v>36.605546970351</v>
      </c>
      <c r="F226" s="43">
        <f t="shared" si="14"/>
        <v>74.64558891126629</v>
      </c>
      <c r="G226" s="43">
        <f t="shared" si="15"/>
        <v>1375.83481486204</v>
      </c>
      <c r="H226" s="4">
        <v>300.36</v>
      </c>
    </row>
    <row r="227" spans="1:8" ht="12.75">
      <c r="A227" s="4">
        <v>300</v>
      </c>
      <c r="B227" s="4">
        <v>101.4</v>
      </c>
      <c r="C227" s="4">
        <v>44.609</v>
      </c>
      <c r="D227" s="43">
        <f t="shared" si="12"/>
        <v>69.39099999999999</v>
      </c>
      <c r="E227" s="43">
        <f t="shared" si="13"/>
        <v>36.61113216573708</v>
      </c>
      <c r="F227" s="43">
        <f t="shared" si="14"/>
        <v>75.0026536578853</v>
      </c>
      <c r="G227" s="43">
        <f t="shared" si="15"/>
        <v>1351.9521650863542</v>
      </c>
      <c r="H227" s="4">
        <v>300.154</v>
      </c>
    </row>
    <row r="228" spans="1:8" ht="12.75">
      <c r="A228" s="4">
        <v>300</v>
      </c>
      <c r="B228" s="4">
        <v>99.3</v>
      </c>
      <c r="C228" s="4">
        <v>45.262</v>
      </c>
      <c r="D228" s="43">
        <f t="shared" si="12"/>
        <v>68.738</v>
      </c>
      <c r="E228" s="43">
        <f t="shared" si="13"/>
        <v>36.59973487640235</v>
      </c>
      <c r="F228" s="43">
        <f t="shared" si="14"/>
        <v>74.27412965313097</v>
      </c>
      <c r="G228" s="43">
        <f t="shared" si="15"/>
        <v>1336.939260867045</v>
      </c>
      <c r="H228" s="4">
        <v>301.513</v>
      </c>
    </row>
    <row r="229" spans="1:8" ht="12.75">
      <c r="A229" s="4">
        <v>300</v>
      </c>
      <c r="B229" s="4">
        <v>101.3</v>
      </c>
      <c r="C229" s="4">
        <v>45</v>
      </c>
      <c r="D229" s="43">
        <f t="shared" si="12"/>
        <v>69</v>
      </c>
      <c r="E229" s="43">
        <f t="shared" si="13"/>
        <v>36.60430775512471</v>
      </c>
      <c r="F229" s="43">
        <f t="shared" si="14"/>
        <v>74.56637937332265</v>
      </c>
      <c r="G229" s="43">
        <f t="shared" si="15"/>
        <v>1358.5211036308108</v>
      </c>
      <c r="H229" s="4">
        <v>301.02</v>
      </c>
    </row>
    <row r="230" spans="3:8" ht="12.75">
      <c r="C230" s="36"/>
      <c r="D230" s="44"/>
      <c r="E230" s="44"/>
      <c r="F230" s="44"/>
      <c r="G230" s="44"/>
      <c r="H230" s="36"/>
    </row>
    <row r="231" spans="3:8" ht="12.75">
      <c r="C231" s="36"/>
      <c r="D231" s="44"/>
      <c r="E231" s="44"/>
      <c r="F231" s="44"/>
      <c r="G231" s="44"/>
      <c r="H231" s="36"/>
    </row>
    <row r="232" ht="15.75">
      <c r="A232" s="1" t="s">
        <v>63</v>
      </c>
    </row>
    <row r="233" spans="3:8" ht="12.75">
      <c r="C233" s="36"/>
      <c r="D233" s="44"/>
      <c r="E233" s="44"/>
      <c r="F233" s="44"/>
      <c r="G233" s="44"/>
      <c r="H233" s="36"/>
    </row>
    <row r="234" spans="1:8" ht="12.75">
      <c r="A234" s="4">
        <v>20</v>
      </c>
      <c r="B234" s="4">
        <v>99.9</v>
      </c>
      <c r="C234" s="4">
        <v>33.72</v>
      </c>
      <c r="D234" s="43">
        <f t="shared" si="12"/>
        <v>80.28</v>
      </c>
      <c r="E234" s="43">
        <f t="shared" si="13"/>
        <v>36.80118589248423</v>
      </c>
      <c r="F234" s="43">
        <f t="shared" si="14"/>
        <v>87.21545128402184</v>
      </c>
      <c r="G234" s="43">
        <f t="shared" si="15"/>
        <v>1145.4392373052137</v>
      </c>
      <c r="H234" s="4">
        <v>20.279</v>
      </c>
    </row>
    <row r="235" spans="1:8" ht="12.75">
      <c r="A235" s="4">
        <v>20</v>
      </c>
      <c r="B235" s="4">
        <v>95.4</v>
      </c>
      <c r="C235" s="4">
        <v>34.087</v>
      </c>
      <c r="D235" s="43">
        <f t="shared" si="12"/>
        <v>79.913</v>
      </c>
      <c r="E235" s="43">
        <f t="shared" si="13"/>
        <v>36.79478037152581</v>
      </c>
      <c r="F235" s="43">
        <f t="shared" si="14"/>
        <v>86.80185193958704</v>
      </c>
      <c r="G235" s="43">
        <f t="shared" si="15"/>
        <v>1099.054891897896</v>
      </c>
      <c r="H235" s="4">
        <v>20.162</v>
      </c>
    </row>
    <row r="236" spans="1:8" ht="12.75">
      <c r="A236" s="4">
        <v>20</v>
      </c>
      <c r="B236" s="4">
        <v>99.1</v>
      </c>
      <c r="C236" s="4">
        <v>34.813</v>
      </c>
      <c r="D236" s="43">
        <f t="shared" si="12"/>
        <v>79.187</v>
      </c>
      <c r="E236" s="43">
        <f t="shared" si="13"/>
        <v>36.782108959493634</v>
      </c>
      <c r="F236" s="43">
        <f t="shared" si="14"/>
        <v>85.98407702824811</v>
      </c>
      <c r="G236" s="43">
        <f t="shared" si="15"/>
        <v>1152.5389749481517</v>
      </c>
      <c r="H236" s="4">
        <v>20.171</v>
      </c>
    </row>
    <row r="237" spans="1:8" ht="12.75">
      <c r="A237" s="4">
        <v>20</v>
      </c>
      <c r="B237" s="4">
        <v>99.4</v>
      </c>
      <c r="C237" s="4">
        <v>33.613</v>
      </c>
      <c r="D237" s="43">
        <f t="shared" si="12"/>
        <v>80.387</v>
      </c>
      <c r="E237" s="43">
        <f t="shared" si="13"/>
        <v>36.803053442191455</v>
      </c>
      <c r="F237" s="43">
        <f t="shared" si="14"/>
        <v>87.3360635504691</v>
      </c>
      <c r="G237" s="43">
        <f t="shared" si="15"/>
        <v>1138.1323586053254</v>
      </c>
      <c r="H237" s="4">
        <v>20.153</v>
      </c>
    </row>
    <row r="238" spans="1:8" ht="12.75">
      <c r="A238" s="4">
        <v>20</v>
      </c>
      <c r="B238" s="4">
        <v>99.1</v>
      </c>
      <c r="C238" s="4">
        <v>34.202</v>
      </c>
      <c r="D238" s="43">
        <f t="shared" si="12"/>
        <v>79.798</v>
      </c>
      <c r="E238" s="43">
        <f t="shared" si="13"/>
        <v>36.79277319193394</v>
      </c>
      <c r="F238" s="43">
        <f t="shared" si="14"/>
        <v>86.67227846725781</v>
      </c>
      <c r="G238" s="43">
        <f t="shared" si="15"/>
        <v>1143.3875023539044</v>
      </c>
      <c r="H238" s="4">
        <v>20.046</v>
      </c>
    </row>
    <row r="239" spans="1:8" ht="12.75">
      <c r="A239" s="4">
        <v>50</v>
      </c>
      <c r="B239" s="4">
        <v>96.1</v>
      </c>
      <c r="C239" s="4">
        <v>42.171</v>
      </c>
      <c r="D239" s="43">
        <f t="shared" si="12"/>
        <v>71.82900000000001</v>
      </c>
      <c r="E239" s="43">
        <f t="shared" si="13"/>
        <v>36.65368437308482</v>
      </c>
      <c r="F239" s="43">
        <f t="shared" si="14"/>
        <v>77.72648225771505</v>
      </c>
      <c r="G239" s="43">
        <f t="shared" si="15"/>
        <v>1236.3868427927114</v>
      </c>
      <c r="H239" s="4">
        <v>50.515</v>
      </c>
    </row>
    <row r="240" spans="1:8" ht="12.75">
      <c r="A240" s="4">
        <v>50</v>
      </c>
      <c r="B240" s="4">
        <v>98</v>
      </c>
      <c r="C240" s="4">
        <v>39.9</v>
      </c>
      <c r="D240" s="43">
        <f t="shared" si="12"/>
        <v>74.1</v>
      </c>
      <c r="E240" s="43">
        <f t="shared" si="13"/>
        <v>36.693321806590454</v>
      </c>
      <c r="F240" s="43">
        <f t="shared" si="14"/>
        <v>80.26920984148441</v>
      </c>
      <c r="G240" s="43">
        <f t="shared" si="15"/>
        <v>1220.891549742801</v>
      </c>
      <c r="H240" s="4">
        <v>50.376</v>
      </c>
    </row>
    <row r="241" spans="1:8" ht="12.75">
      <c r="A241" s="4">
        <v>50</v>
      </c>
      <c r="B241" s="4">
        <v>99.8</v>
      </c>
      <c r="C241" s="4">
        <v>37.983</v>
      </c>
      <c r="D241" s="43">
        <f t="shared" si="12"/>
        <v>76.017</v>
      </c>
      <c r="E241" s="43">
        <f t="shared" si="13"/>
        <v>36.72678061770022</v>
      </c>
      <c r="F241" s="43">
        <f t="shared" si="14"/>
        <v>82.41969759594274</v>
      </c>
      <c r="G241" s="43">
        <f t="shared" si="15"/>
        <v>1210.8755905567996</v>
      </c>
      <c r="H241" s="4">
        <v>50.374</v>
      </c>
    </row>
    <row r="242" spans="1:8" ht="12.75">
      <c r="A242" s="4">
        <v>50</v>
      </c>
      <c r="B242" s="4">
        <v>101</v>
      </c>
      <c r="C242" s="4">
        <v>37.559</v>
      </c>
      <c r="D242" s="43">
        <f t="shared" si="12"/>
        <v>76.441</v>
      </c>
      <c r="E242" s="43">
        <f t="shared" si="13"/>
        <v>36.734181001586784</v>
      </c>
      <c r="F242" s="43">
        <f t="shared" si="14"/>
        <v>82.89584949005008</v>
      </c>
      <c r="G242" s="43">
        <f t="shared" si="15"/>
        <v>1218.396344585659</v>
      </c>
      <c r="H242" s="4">
        <v>50.758</v>
      </c>
    </row>
    <row r="243" spans="1:8" ht="12.75">
      <c r="A243" s="4">
        <v>50</v>
      </c>
      <c r="B243" s="4">
        <v>99.3</v>
      </c>
      <c r="C243" s="4">
        <v>39.403</v>
      </c>
      <c r="D243" s="43">
        <f t="shared" si="12"/>
        <v>74.59700000000001</v>
      </c>
      <c r="E243" s="43">
        <f t="shared" si="13"/>
        <v>36.70199631317447</v>
      </c>
      <c r="F243" s="43">
        <f t="shared" si="14"/>
        <v>80.82638167193683</v>
      </c>
      <c r="G243" s="43">
        <f t="shared" si="15"/>
        <v>1228.55926426405</v>
      </c>
      <c r="H243" s="4">
        <v>50.506</v>
      </c>
    </row>
    <row r="244" spans="1:8" ht="12.75">
      <c r="A244" s="4">
        <v>80</v>
      </c>
      <c r="B244" s="4">
        <v>99.4</v>
      </c>
      <c r="C244" s="4">
        <v>41.226</v>
      </c>
      <c r="D244" s="43">
        <f t="shared" si="12"/>
        <v>72.774</v>
      </c>
      <c r="E244" s="43">
        <f t="shared" si="13"/>
        <v>36.670178153209356</v>
      </c>
      <c r="F244" s="43">
        <f t="shared" si="14"/>
        <v>78.78391031868168</v>
      </c>
      <c r="G244" s="43">
        <f t="shared" si="15"/>
        <v>1261.678934162141</v>
      </c>
      <c r="H244" s="4">
        <v>80.496</v>
      </c>
    </row>
    <row r="245" spans="1:8" ht="12.75">
      <c r="A245" s="4">
        <v>80</v>
      </c>
      <c r="B245" s="4">
        <v>100.8</v>
      </c>
      <c r="C245" s="4">
        <v>39.799</v>
      </c>
      <c r="D245" s="43">
        <f t="shared" si="12"/>
        <v>74.201</v>
      </c>
      <c r="E245" s="43">
        <f t="shared" si="13"/>
        <v>36.695084633884186</v>
      </c>
      <c r="F245" s="43">
        <f t="shared" si="14"/>
        <v>80.38241740827256</v>
      </c>
      <c r="G245" s="43">
        <f t="shared" si="15"/>
        <v>1254.0055804495644</v>
      </c>
      <c r="H245" s="4">
        <v>80.732</v>
      </c>
    </row>
    <row r="246" spans="1:8" ht="12.75">
      <c r="A246" s="4">
        <v>80</v>
      </c>
      <c r="B246" s="4">
        <v>102.3</v>
      </c>
      <c r="C246" s="4">
        <v>37.512</v>
      </c>
      <c r="D246" s="43">
        <f t="shared" si="12"/>
        <v>76.488</v>
      </c>
      <c r="E246" s="43">
        <f t="shared" si="13"/>
        <v>36.73500132715912</v>
      </c>
      <c r="F246" s="43">
        <f t="shared" si="14"/>
        <v>82.94864184165908</v>
      </c>
      <c r="G246" s="43">
        <f t="shared" si="15"/>
        <v>1233.29324903572</v>
      </c>
      <c r="H246" s="4">
        <v>80.641</v>
      </c>
    </row>
    <row r="247" spans="1:8" ht="12.75">
      <c r="A247" s="4">
        <v>80</v>
      </c>
      <c r="B247" s="4">
        <v>99.8</v>
      </c>
      <c r="C247" s="4">
        <v>39.312</v>
      </c>
      <c r="D247" s="43">
        <f t="shared" si="12"/>
        <v>74.688</v>
      </c>
      <c r="E247" s="43">
        <f t="shared" si="13"/>
        <v>36.70358460311238</v>
      </c>
      <c r="F247" s="43">
        <f t="shared" si="14"/>
        <v>80.92842649230822</v>
      </c>
      <c r="G247" s="43">
        <f t="shared" si="15"/>
        <v>1233.1884397812357</v>
      </c>
      <c r="H247" s="4">
        <v>80.552</v>
      </c>
    </row>
    <row r="248" spans="1:8" ht="12.75">
      <c r="A248" s="4">
        <v>80</v>
      </c>
      <c r="B248" s="4">
        <v>101.7</v>
      </c>
      <c r="C248" s="4">
        <v>38.709</v>
      </c>
      <c r="D248" s="43">
        <f t="shared" si="12"/>
        <v>75.291</v>
      </c>
      <c r="E248" s="43">
        <f t="shared" si="13"/>
        <v>36.71410920566804</v>
      </c>
      <c r="F248" s="43">
        <f t="shared" si="14"/>
        <v>81.60482826779452</v>
      </c>
      <c r="G248" s="43">
        <f t="shared" si="15"/>
        <v>1246.2497888759858</v>
      </c>
      <c r="H248" s="4">
        <v>80.338</v>
      </c>
    </row>
    <row r="249" spans="1:8" ht="12.75">
      <c r="A249" s="4">
        <v>150</v>
      </c>
      <c r="B249" s="4">
        <v>98.9</v>
      </c>
      <c r="C249" s="4">
        <v>44.25</v>
      </c>
      <c r="D249" s="43">
        <f t="shared" si="12"/>
        <v>69.75</v>
      </c>
      <c r="E249" s="43">
        <f t="shared" si="13"/>
        <v>36.61739805681085</v>
      </c>
      <c r="F249" s="43">
        <f t="shared" si="14"/>
        <v>75.4033603948224</v>
      </c>
      <c r="G249" s="43">
        <f t="shared" si="15"/>
        <v>1311.6126321445881</v>
      </c>
      <c r="H249" s="4">
        <v>150.934</v>
      </c>
    </row>
    <row r="250" spans="1:8" ht="12.75">
      <c r="A250" s="4">
        <v>150</v>
      </c>
      <c r="B250" s="4">
        <v>96.3</v>
      </c>
      <c r="C250" s="4">
        <v>44.975</v>
      </c>
      <c r="D250" s="43">
        <f t="shared" si="12"/>
        <v>69.025</v>
      </c>
      <c r="E250" s="43">
        <f t="shared" si="13"/>
        <v>36.60474409851425</v>
      </c>
      <c r="F250" s="43">
        <f t="shared" si="14"/>
        <v>74.59426946738309</v>
      </c>
      <c r="G250" s="43">
        <f t="shared" si="15"/>
        <v>1290.9838877382922</v>
      </c>
      <c r="H250" s="4">
        <v>150.476</v>
      </c>
    </row>
    <row r="251" spans="1:8" ht="12.75">
      <c r="A251" s="4">
        <v>150</v>
      </c>
      <c r="B251" s="4">
        <v>103.9</v>
      </c>
      <c r="C251" s="4">
        <v>39.73</v>
      </c>
      <c r="D251" s="43">
        <f t="shared" si="12"/>
        <v>74.27000000000001</v>
      </c>
      <c r="E251" s="43">
        <f t="shared" si="13"/>
        <v>36.69628894163931</v>
      </c>
      <c r="F251" s="43">
        <f t="shared" si="14"/>
        <v>80.45976324640122</v>
      </c>
      <c r="G251" s="43">
        <f t="shared" si="15"/>
        <v>1291.3286816643374</v>
      </c>
      <c r="H251" s="4">
        <v>150.927</v>
      </c>
    </row>
    <row r="252" spans="1:8" ht="12.75">
      <c r="A252" s="4">
        <v>150</v>
      </c>
      <c r="B252" s="4">
        <v>101.5</v>
      </c>
      <c r="C252" s="4">
        <v>41.448</v>
      </c>
      <c r="D252" s="43">
        <f t="shared" si="12"/>
        <v>72.55199999999999</v>
      </c>
      <c r="E252" s="43">
        <f t="shared" si="13"/>
        <v>36.666303423910264</v>
      </c>
      <c r="F252" s="43">
        <f t="shared" si="14"/>
        <v>78.53541640726294</v>
      </c>
      <c r="G252" s="43">
        <f t="shared" si="15"/>
        <v>1292.410540916331</v>
      </c>
      <c r="H252" s="4">
        <v>150.858</v>
      </c>
    </row>
    <row r="253" spans="1:8" ht="12.75">
      <c r="A253" s="4">
        <v>150</v>
      </c>
      <c r="B253" s="4">
        <v>102.2</v>
      </c>
      <c r="C253" s="4">
        <v>41.685</v>
      </c>
      <c r="D253" s="43">
        <f t="shared" si="12"/>
        <v>72.315</v>
      </c>
      <c r="E253" s="43">
        <f t="shared" si="13"/>
        <v>36.662166888577445</v>
      </c>
      <c r="F253" s="43">
        <f t="shared" si="14"/>
        <v>78.27018810906705</v>
      </c>
      <c r="G253" s="43">
        <f t="shared" si="15"/>
        <v>1305.7334148422833</v>
      </c>
      <c r="H253" s="4">
        <v>151.392</v>
      </c>
    </row>
    <row r="254" spans="1:8" ht="12.75">
      <c r="A254" s="4">
        <v>300</v>
      </c>
      <c r="B254" s="4">
        <v>96.2</v>
      </c>
      <c r="C254" s="4">
        <v>48.171</v>
      </c>
      <c r="D254" s="43">
        <f t="shared" si="12"/>
        <v>65.82900000000001</v>
      </c>
      <c r="E254" s="43">
        <f t="shared" si="13"/>
        <v>36.54896195959572</v>
      </c>
      <c r="F254" s="43">
        <f t="shared" si="14"/>
        <v>71.0339818138677</v>
      </c>
      <c r="G254" s="43">
        <f t="shared" si="15"/>
        <v>1354.2813952352483</v>
      </c>
      <c r="H254" s="4">
        <v>302.615</v>
      </c>
    </row>
    <row r="255" spans="1:8" ht="12.75">
      <c r="A255" s="4">
        <v>300</v>
      </c>
      <c r="B255" s="4">
        <v>97.1</v>
      </c>
      <c r="C255" s="4">
        <v>47.398</v>
      </c>
      <c r="D255" s="43">
        <f t="shared" si="12"/>
        <v>66.602</v>
      </c>
      <c r="E255" s="43">
        <f t="shared" si="13"/>
        <v>36.56245369720023</v>
      </c>
      <c r="F255" s="43">
        <f t="shared" si="14"/>
        <v>71.89413285379807</v>
      </c>
      <c r="G255" s="43">
        <f t="shared" si="15"/>
        <v>1350.596997914418</v>
      </c>
      <c r="H255" s="4">
        <v>301.616</v>
      </c>
    </row>
    <row r="256" spans="1:8" ht="12.75">
      <c r="A256" s="4">
        <v>300</v>
      </c>
      <c r="B256" s="4">
        <v>98.8</v>
      </c>
      <c r="C256" s="4">
        <v>46.025</v>
      </c>
      <c r="D256" s="43">
        <f t="shared" si="12"/>
        <v>67.975</v>
      </c>
      <c r="E256" s="43">
        <f t="shared" si="13"/>
        <v>36.58641767615366</v>
      </c>
      <c r="F256" s="43">
        <f t="shared" si="14"/>
        <v>73.42343600808735</v>
      </c>
      <c r="G256" s="43">
        <f t="shared" si="15"/>
        <v>1345.6194012647065</v>
      </c>
      <c r="H256" s="4">
        <v>302.759</v>
      </c>
    </row>
    <row r="257" spans="1:8" ht="12.75">
      <c r="A257" s="4">
        <v>300</v>
      </c>
      <c r="B257" s="4">
        <v>100.7</v>
      </c>
      <c r="C257" s="4">
        <v>44.266</v>
      </c>
      <c r="D257" s="43">
        <f t="shared" si="12"/>
        <v>69.73400000000001</v>
      </c>
      <c r="E257" s="43">
        <f t="shared" si="13"/>
        <v>36.61711879704155</v>
      </c>
      <c r="F257" s="43">
        <f t="shared" si="14"/>
        <v>75.38549879043174</v>
      </c>
      <c r="G257" s="43">
        <f t="shared" si="15"/>
        <v>1335.8006727519496</v>
      </c>
      <c r="H257" s="4">
        <v>302.172</v>
      </c>
    </row>
    <row r="258" spans="1:8" ht="12.75">
      <c r="A258" s="4">
        <v>300</v>
      </c>
      <c r="B258" s="4">
        <v>99.5</v>
      </c>
      <c r="C258" s="4">
        <v>46.464</v>
      </c>
      <c r="D258" s="43">
        <f t="shared" si="12"/>
        <v>67.536</v>
      </c>
      <c r="E258" s="43">
        <f t="shared" si="13"/>
        <v>36.57875548623337</v>
      </c>
      <c r="F258" s="43">
        <f t="shared" si="14"/>
        <v>72.93425038412876</v>
      </c>
      <c r="G258" s="43">
        <f t="shared" si="15"/>
        <v>1364.242444063732</v>
      </c>
      <c r="H258" s="4">
        <v>302.291</v>
      </c>
    </row>
    <row r="259" spans="3:8" ht="12.75">
      <c r="C259" s="36"/>
      <c r="D259" s="44"/>
      <c r="E259" s="44"/>
      <c r="F259" s="44"/>
      <c r="G259" s="44"/>
      <c r="H259" s="36"/>
    </row>
    <row r="260" spans="3:8" ht="12.75">
      <c r="C260" s="36"/>
      <c r="D260" s="44"/>
      <c r="E260" s="44"/>
      <c r="F260" s="44"/>
      <c r="G260" s="44"/>
      <c r="H260" s="36"/>
    </row>
    <row r="261" ht="15.75">
      <c r="A261" s="1" t="s">
        <v>64</v>
      </c>
    </row>
    <row r="262" spans="3:8" ht="12.75">
      <c r="C262" s="36"/>
      <c r="D262" s="44"/>
      <c r="E262" s="44"/>
      <c r="F262" s="44"/>
      <c r="G262" s="44"/>
      <c r="H262" s="36"/>
    </row>
    <row r="263" spans="1:8" ht="12.75">
      <c r="A263" s="4">
        <v>20</v>
      </c>
      <c r="B263" s="4">
        <v>107.2</v>
      </c>
      <c r="C263" s="4">
        <v>29.028</v>
      </c>
      <c r="D263" s="43">
        <f t="shared" si="12"/>
        <v>84.97200000000001</v>
      </c>
      <c r="E263" s="43">
        <f t="shared" si="13"/>
        <v>36.88307881983271</v>
      </c>
      <c r="F263" s="43">
        <f t="shared" si="14"/>
        <v>92.51542709786045</v>
      </c>
      <c r="G263" s="43">
        <f t="shared" si="15"/>
        <v>1158.7256673052655</v>
      </c>
      <c r="H263" s="4">
        <v>20.153</v>
      </c>
    </row>
    <row r="264" spans="1:8" ht="12.75">
      <c r="A264" s="4">
        <v>20</v>
      </c>
      <c r="B264" s="4">
        <v>101.8</v>
      </c>
      <c r="C264" s="4">
        <v>31.665</v>
      </c>
      <c r="D264" s="43">
        <f t="shared" si="12"/>
        <v>82.33500000000001</v>
      </c>
      <c r="E264" s="43">
        <f t="shared" si="13"/>
        <v>36.83705331910425</v>
      </c>
      <c r="F264" s="43">
        <f t="shared" si="14"/>
        <v>89.53394250414887</v>
      </c>
      <c r="G264" s="43">
        <f t="shared" si="15"/>
        <v>1136.9989654513734</v>
      </c>
      <c r="H264" s="4">
        <v>20.152</v>
      </c>
    </row>
    <row r="265" spans="1:8" ht="12.75">
      <c r="A265" s="4">
        <v>20</v>
      </c>
      <c r="B265" s="4">
        <v>103.7</v>
      </c>
      <c r="C265" s="4">
        <v>29.689</v>
      </c>
      <c r="D265" s="43">
        <f t="shared" si="12"/>
        <v>84.311</v>
      </c>
      <c r="E265" s="43">
        <f t="shared" si="13"/>
        <v>36.87154190061333</v>
      </c>
      <c r="F265" s="43">
        <f t="shared" si="14"/>
        <v>91.76740451293674</v>
      </c>
      <c r="G265" s="43">
        <f t="shared" si="15"/>
        <v>1130.0308704424683</v>
      </c>
      <c r="H265" s="4">
        <v>20.168</v>
      </c>
    </row>
    <row r="266" spans="1:8" ht="12.75">
      <c r="A266" s="4">
        <v>20</v>
      </c>
      <c r="B266" s="4">
        <v>102.7</v>
      </c>
      <c r="C266" s="4">
        <v>31.267</v>
      </c>
      <c r="D266" s="43">
        <f t="shared" si="12"/>
        <v>82.733</v>
      </c>
      <c r="E266" s="43">
        <f t="shared" si="13"/>
        <v>36.843999905865694</v>
      </c>
      <c r="F266" s="43">
        <f t="shared" si="14"/>
        <v>89.98347632063964</v>
      </c>
      <c r="G266" s="43">
        <f t="shared" si="15"/>
        <v>1141.3206535169563</v>
      </c>
      <c r="H266" s="4">
        <v>20.032</v>
      </c>
    </row>
    <row r="267" spans="1:8" ht="12.75">
      <c r="A267" s="4">
        <v>20</v>
      </c>
      <c r="B267" s="4">
        <v>105.2</v>
      </c>
      <c r="C267" s="4">
        <v>32.903</v>
      </c>
      <c r="D267" s="43">
        <f t="shared" si="12"/>
        <v>81.09700000000001</v>
      </c>
      <c r="E267" s="43">
        <f t="shared" si="13"/>
        <v>36.81544559445433</v>
      </c>
      <c r="F267" s="43">
        <f t="shared" si="14"/>
        <v>88.13668628906062</v>
      </c>
      <c r="G267" s="43">
        <f t="shared" si="15"/>
        <v>1193.6005814307232</v>
      </c>
      <c r="H267" s="4">
        <v>20.153</v>
      </c>
    </row>
    <row r="268" spans="1:8" ht="12.75">
      <c r="A268" s="4">
        <v>50</v>
      </c>
      <c r="B268" s="4">
        <v>107.4</v>
      </c>
      <c r="C268" s="4">
        <v>31.916</v>
      </c>
      <c r="D268" s="43">
        <f t="shared" si="12"/>
        <v>82.084</v>
      </c>
      <c r="E268" s="43">
        <f t="shared" si="13"/>
        <v>36.832672431473284</v>
      </c>
      <c r="F268" s="43">
        <f t="shared" si="14"/>
        <v>89.25052639004222</v>
      </c>
      <c r="G268" s="43">
        <f t="shared" si="15"/>
        <v>1203.3542472415347</v>
      </c>
      <c r="H268" s="4">
        <v>50.346</v>
      </c>
    </row>
    <row r="269" spans="1:8" ht="12.75">
      <c r="A269" s="4">
        <v>50</v>
      </c>
      <c r="B269" s="4">
        <v>101.6</v>
      </c>
      <c r="C269" s="4">
        <v>35.8</v>
      </c>
      <c r="D269" s="43">
        <f aca="true" t="shared" si="16" ref="D269:D311">114-C269</f>
        <v>78.2</v>
      </c>
      <c r="E269" s="43">
        <f aca="true" t="shared" si="17" ref="E269:E311">2*(TAN(RADIANS(0.5))*D269+17.7)</f>
        <v>36.764882122474674</v>
      </c>
      <c r="F269" s="43">
        <f aca="true" t="shared" si="18" ref="F269:F311">(((3.14*D269)/12)*(37.6^2+37.6*E269+E269^2))*10^-3</f>
        <v>84.87317766761333</v>
      </c>
      <c r="G269" s="43">
        <f aca="true" t="shared" si="19" ref="G269:G311">(1000*B269)/F269</f>
        <v>1197.0801941444151</v>
      </c>
      <c r="H269" s="4">
        <v>50.572</v>
      </c>
    </row>
    <row r="270" spans="1:8" ht="12.75">
      <c r="A270" s="4">
        <v>50</v>
      </c>
      <c r="B270" s="4">
        <v>102.1</v>
      </c>
      <c r="C270" s="4">
        <v>36.693</v>
      </c>
      <c r="D270" s="43">
        <f t="shared" si="16"/>
        <v>77.307</v>
      </c>
      <c r="E270" s="43">
        <f t="shared" si="17"/>
        <v>36.749295936600376</v>
      </c>
      <c r="F270" s="43">
        <f t="shared" si="18"/>
        <v>83.86894079610958</v>
      </c>
      <c r="G270" s="43">
        <f t="shared" si="19"/>
        <v>1217.3755746863576</v>
      </c>
      <c r="H270" s="4">
        <v>50.347</v>
      </c>
    </row>
    <row r="271" spans="1:8" ht="12.75">
      <c r="A271" s="4">
        <v>50</v>
      </c>
      <c r="B271" s="4">
        <v>105.5</v>
      </c>
      <c r="C271" s="4">
        <v>34.614</v>
      </c>
      <c r="D271" s="43">
        <f t="shared" si="16"/>
        <v>79.386</v>
      </c>
      <c r="E271" s="43">
        <f t="shared" si="17"/>
        <v>36.785582252874356</v>
      </c>
      <c r="F271" s="43">
        <f t="shared" si="18"/>
        <v>86.20817904817056</v>
      </c>
      <c r="G271" s="43">
        <f t="shared" si="19"/>
        <v>1223.781793848699</v>
      </c>
      <c r="H271" s="4">
        <v>50.464</v>
      </c>
    </row>
    <row r="272" spans="1:8" ht="12.75">
      <c r="A272" s="4">
        <v>50</v>
      </c>
      <c r="B272" s="4">
        <v>105</v>
      </c>
      <c r="C272" s="4">
        <v>34.756</v>
      </c>
      <c r="D272" s="43">
        <f t="shared" si="16"/>
        <v>79.244</v>
      </c>
      <c r="E272" s="43">
        <f t="shared" si="17"/>
        <v>36.78310382242178</v>
      </c>
      <c r="F272" s="43">
        <f t="shared" si="18"/>
        <v>86.04826289352596</v>
      </c>
      <c r="G272" s="43">
        <f t="shared" si="19"/>
        <v>1220.2454351684526</v>
      </c>
      <c r="H272" s="4">
        <v>50.432</v>
      </c>
    </row>
    <row r="273" spans="1:8" ht="12.75">
      <c r="A273" s="4">
        <v>80</v>
      </c>
      <c r="B273" s="4">
        <v>106.5</v>
      </c>
      <c r="C273" s="4">
        <v>35.219</v>
      </c>
      <c r="D273" s="43">
        <f t="shared" si="16"/>
        <v>78.781</v>
      </c>
      <c r="E273" s="43">
        <f t="shared" si="17"/>
        <v>36.77502274284753</v>
      </c>
      <c r="F273" s="43">
        <f t="shared" si="18"/>
        <v>85.52699011319501</v>
      </c>
      <c r="G273" s="43">
        <f t="shared" si="19"/>
        <v>1245.2209514101596</v>
      </c>
      <c r="H273" s="4">
        <v>80.587</v>
      </c>
    </row>
    <row r="274" spans="1:8" ht="12.75">
      <c r="A274" s="4">
        <v>80</v>
      </c>
      <c r="B274" s="4">
        <v>102.5</v>
      </c>
      <c r="C274" s="4">
        <v>38.937</v>
      </c>
      <c r="D274" s="43">
        <f t="shared" si="16"/>
        <v>75.063</v>
      </c>
      <c r="E274" s="43">
        <f t="shared" si="17"/>
        <v>36.71012975395545</v>
      </c>
      <c r="F274" s="43">
        <f t="shared" si="18"/>
        <v>81.34903050045142</v>
      </c>
      <c r="G274" s="43">
        <f t="shared" si="19"/>
        <v>1260.0027236886517</v>
      </c>
      <c r="H274" s="4">
        <v>80.745</v>
      </c>
    </row>
    <row r="275" spans="1:8" ht="12.75">
      <c r="A275" s="4">
        <v>80</v>
      </c>
      <c r="B275" s="4">
        <v>106.8</v>
      </c>
      <c r="C275" s="4">
        <v>35.059</v>
      </c>
      <c r="D275" s="43">
        <f t="shared" si="16"/>
        <v>78.941</v>
      </c>
      <c r="E275" s="43">
        <f t="shared" si="17"/>
        <v>36.77781534054058</v>
      </c>
      <c r="F275" s="43">
        <f t="shared" si="18"/>
        <v>85.70710265837285</v>
      </c>
      <c r="G275" s="43">
        <f t="shared" si="19"/>
        <v>1246.1044264406312</v>
      </c>
      <c r="H275" s="4">
        <v>80.952</v>
      </c>
    </row>
    <row r="276" spans="1:8" ht="12.75">
      <c r="A276" s="4">
        <v>80</v>
      </c>
      <c r="B276" s="4">
        <v>100.8</v>
      </c>
      <c r="C276" s="4">
        <v>39.099</v>
      </c>
      <c r="D276" s="43">
        <f t="shared" si="16"/>
        <v>74.90100000000001</v>
      </c>
      <c r="E276" s="43">
        <f t="shared" si="17"/>
        <v>36.707302248791244</v>
      </c>
      <c r="F276" s="43">
        <f t="shared" si="18"/>
        <v>81.16731186815221</v>
      </c>
      <c r="G276" s="43">
        <f t="shared" si="19"/>
        <v>1241.8792452279192</v>
      </c>
      <c r="H276" s="4">
        <v>80.503</v>
      </c>
    </row>
    <row r="277" spans="1:8" ht="12.75">
      <c r="A277" s="4">
        <v>80</v>
      </c>
      <c r="B277" s="4">
        <v>108</v>
      </c>
      <c r="C277" s="4">
        <v>34.409</v>
      </c>
      <c r="D277" s="43">
        <f t="shared" si="16"/>
        <v>79.59100000000001</v>
      </c>
      <c r="E277" s="43">
        <f t="shared" si="17"/>
        <v>36.78916026866857</v>
      </c>
      <c r="F277" s="43">
        <f t="shared" si="18"/>
        <v>86.43908048686588</v>
      </c>
      <c r="G277" s="43">
        <f t="shared" si="19"/>
        <v>1249.4348550643158</v>
      </c>
      <c r="H277" s="4">
        <v>80.383</v>
      </c>
    </row>
    <row r="278" spans="1:8" ht="12.75">
      <c r="A278" s="4">
        <v>150</v>
      </c>
      <c r="B278" s="4">
        <v>107.5</v>
      </c>
      <c r="C278" s="4">
        <v>36.94</v>
      </c>
      <c r="D278" s="43">
        <f t="shared" si="16"/>
        <v>77.06</v>
      </c>
      <c r="E278" s="43">
        <f t="shared" si="17"/>
        <v>36.744984863911746</v>
      </c>
      <c r="F278" s="43">
        <f t="shared" si="18"/>
        <v>83.59131777249443</v>
      </c>
      <c r="G278" s="43">
        <f t="shared" si="19"/>
        <v>1286.0187261621645</v>
      </c>
      <c r="H278" s="4">
        <v>151.195</v>
      </c>
    </row>
    <row r="279" spans="1:8" ht="12.75">
      <c r="A279" s="4">
        <v>150</v>
      </c>
      <c r="B279" s="4">
        <v>105.9</v>
      </c>
      <c r="C279" s="4">
        <v>38.937</v>
      </c>
      <c r="D279" s="43">
        <f t="shared" si="16"/>
        <v>75.063</v>
      </c>
      <c r="E279" s="43">
        <f t="shared" si="17"/>
        <v>36.71012975395545</v>
      </c>
      <c r="F279" s="43">
        <f t="shared" si="18"/>
        <v>81.34903050045142</v>
      </c>
      <c r="G279" s="43">
        <f t="shared" si="19"/>
        <v>1301.797935986617</v>
      </c>
      <c r="H279" s="4">
        <v>151.311</v>
      </c>
    </row>
    <row r="280" spans="1:8" ht="12.75">
      <c r="A280" s="4">
        <v>150</v>
      </c>
      <c r="B280" s="4">
        <v>102.8</v>
      </c>
      <c r="C280" s="4">
        <v>40.574</v>
      </c>
      <c r="D280" s="43">
        <f t="shared" si="16"/>
        <v>73.426</v>
      </c>
      <c r="E280" s="43">
        <f t="shared" si="17"/>
        <v>36.68155798880851</v>
      </c>
      <c r="F280" s="43">
        <f t="shared" si="18"/>
        <v>79.51401331659845</v>
      </c>
      <c r="G280" s="43">
        <f t="shared" si="19"/>
        <v>1292.8538720676124</v>
      </c>
      <c r="H280" s="4">
        <v>151.241</v>
      </c>
    </row>
    <row r="281" spans="1:8" ht="12.75">
      <c r="A281" s="4">
        <v>150</v>
      </c>
      <c r="B281" s="4">
        <v>103.2</v>
      </c>
      <c r="C281" s="4">
        <v>40.665</v>
      </c>
      <c r="D281" s="43">
        <f t="shared" si="16"/>
        <v>73.33500000000001</v>
      </c>
      <c r="E281" s="43">
        <f t="shared" si="17"/>
        <v>36.67996969887059</v>
      </c>
      <c r="F281" s="43">
        <f t="shared" si="18"/>
        <v>79.41208627089354</v>
      </c>
      <c r="G281" s="43">
        <f t="shared" si="19"/>
        <v>1299.5502932382385</v>
      </c>
      <c r="H281" s="4">
        <v>150.99</v>
      </c>
    </row>
    <row r="282" spans="1:8" ht="12.75">
      <c r="A282" s="4">
        <v>150</v>
      </c>
      <c r="B282" s="4">
        <v>103.2</v>
      </c>
      <c r="C282" s="4">
        <v>40.271</v>
      </c>
      <c r="D282" s="43">
        <f t="shared" si="16"/>
        <v>73.729</v>
      </c>
      <c r="E282" s="43">
        <f t="shared" si="17"/>
        <v>36.68684647068971</v>
      </c>
      <c r="F282" s="43">
        <f t="shared" si="18"/>
        <v>79.85345797707642</v>
      </c>
      <c r="G282" s="43">
        <f t="shared" si="19"/>
        <v>1292.3673265298753</v>
      </c>
      <c r="H282" s="4">
        <v>150.971</v>
      </c>
    </row>
    <row r="283" spans="1:8" ht="12.75">
      <c r="A283" s="4">
        <v>300</v>
      </c>
      <c r="B283" s="4">
        <v>101.5</v>
      </c>
      <c r="C283" s="4">
        <v>44.318</v>
      </c>
      <c r="D283" s="43">
        <f>114-C283</f>
        <v>69.682</v>
      </c>
      <c r="E283" s="43">
        <f t="shared" si="17"/>
        <v>36.616211202791305</v>
      </c>
      <c r="F283" s="43">
        <f t="shared" si="18"/>
        <v>75.3274503856835</v>
      </c>
      <c r="G283" s="43">
        <f t="shared" si="19"/>
        <v>1347.4503581405002</v>
      </c>
      <c r="H283" s="4">
        <v>302.103</v>
      </c>
    </row>
    <row r="284" spans="1:8" ht="12.75">
      <c r="A284" s="4">
        <v>300</v>
      </c>
      <c r="B284" s="4">
        <v>99.4</v>
      </c>
      <c r="C284" s="4">
        <v>46.518</v>
      </c>
      <c r="D284" s="43">
        <f t="shared" si="16"/>
        <v>67.482</v>
      </c>
      <c r="E284" s="43">
        <f t="shared" si="17"/>
        <v>36.577812984511965</v>
      </c>
      <c r="F284" s="43">
        <f t="shared" si="18"/>
        <v>72.87409081993653</v>
      </c>
      <c r="G284" s="43">
        <f t="shared" si="19"/>
        <v>1363.9964338712086</v>
      </c>
      <c r="H284" s="4">
        <v>301.814</v>
      </c>
    </row>
    <row r="285" spans="1:8" ht="12.75">
      <c r="A285" s="4">
        <v>300</v>
      </c>
      <c r="B285" s="4">
        <v>102.6</v>
      </c>
      <c r="C285" s="4">
        <v>44.427</v>
      </c>
      <c r="D285" s="43">
        <f t="shared" si="16"/>
        <v>69.57300000000001</v>
      </c>
      <c r="E285" s="43">
        <f t="shared" si="17"/>
        <v>36.614308745612924</v>
      </c>
      <c r="F285" s="43">
        <f t="shared" si="18"/>
        <v>75.20578097912876</v>
      </c>
      <c r="G285" s="43">
        <f t="shared" si="19"/>
        <v>1364.2568252628575</v>
      </c>
      <c r="H285" s="4">
        <v>300.892</v>
      </c>
    </row>
    <row r="286" spans="1:8" ht="12.75">
      <c r="A286" s="4">
        <v>300</v>
      </c>
      <c r="B286" s="4">
        <v>104.7</v>
      </c>
      <c r="C286" s="4">
        <v>42.446</v>
      </c>
      <c r="D286" s="43">
        <f t="shared" si="16"/>
        <v>71.554</v>
      </c>
      <c r="E286" s="43">
        <f t="shared" si="17"/>
        <v>36.648884595799906</v>
      </c>
      <c r="F286" s="43">
        <f t="shared" si="18"/>
        <v>77.41893697368488</v>
      </c>
      <c r="G286" s="43">
        <f t="shared" si="19"/>
        <v>1352.382299379648</v>
      </c>
      <c r="H286" s="4">
        <v>302.474</v>
      </c>
    </row>
    <row r="287" spans="1:8" ht="12.75">
      <c r="A287" s="4">
        <v>300</v>
      </c>
      <c r="B287" s="4">
        <v>102</v>
      </c>
      <c r="C287" s="4">
        <v>44.427</v>
      </c>
      <c r="D287" s="43">
        <f t="shared" si="16"/>
        <v>69.57300000000001</v>
      </c>
      <c r="E287" s="43">
        <f t="shared" si="17"/>
        <v>36.614308745612924</v>
      </c>
      <c r="F287" s="43">
        <f t="shared" si="18"/>
        <v>75.20578097912876</v>
      </c>
      <c r="G287" s="43">
        <f t="shared" si="19"/>
        <v>1356.278715173601</v>
      </c>
      <c r="H287" s="4">
        <v>301.821</v>
      </c>
    </row>
    <row r="288" spans="3:8" ht="12.75">
      <c r="C288" s="36"/>
      <c r="D288" s="44"/>
      <c r="E288" s="44"/>
      <c r="F288" s="44"/>
      <c r="G288" s="44"/>
      <c r="H288" s="36"/>
    </row>
    <row r="289" spans="3:8" ht="12.75">
      <c r="C289" s="36"/>
      <c r="D289" s="44"/>
      <c r="E289" s="44"/>
      <c r="F289" s="44"/>
      <c r="G289" s="44"/>
      <c r="H289" s="36"/>
    </row>
    <row r="290" ht="15.75">
      <c r="A290" s="1" t="s">
        <v>65</v>
      </c>
    </row>
    <row r="291" spans="3:8" ht="12.75">
      <c r="C291" s="36"/>
      <c r="D291" s="44"/>
      <c r="E291" s="44"/>
      <c r="F291" s="44"/>
      <c r="G291" s="44"/>
      <c r="H291" s="36"/>
    </row>
    <row r="292" spans="1:8" ht="12.75">
      <c r="A292" s="4">
        <v>50</v>
      </c>
      <c r="B292" s="4">
        <v>114.6</v>
      </c>
      <c r="C292" s="4">
        <v>26.271</v>
      </c>
      <c r="D292" s="43">
        <f t="shared" si="16"/>
        <v>87.729</v>
      </c>
      <c r="E292" s="43">
        <f t="shared" si="17"/>
        <v>36.93119876883095</v>
      </c>
      <c r="F292" s="43">
        <f t="shared" si="18"/>
        <v>95.64025252594197</v>
      </c>
      <c r="G292" s="43">
        <f t="shared" si="19"/>
        <v>1198.2402489884191</v>
      </c>
      <c r="H292" s="4">
        <v>50.087</v>
      </c>
    </row>
    <row r="293" spans="1:8" ht="12.75">
      <c r="A293" s="4">
        <v>50</v>
      </c>
      <c r="B293" s="4">
        <v>108.7</v>
      </c>
      <c r="C293" s="4">
        <v>30.693</v>
      </c>
      <c r="D293" s="43">
        <f t="shared" si="16"/>
        <v>83.307</v>
      </c>
      <c r="E293" s="43">
        <f t="shared" si="17"/>
        <v>36.85401835008948</v>
      </c>
      <c r="F293" s="43">
        <f t="shared" si="18"/>
        <v>90.6320862197361</v>
      </c>
      <c r="G293" s="43">
        <f t="shared" si="19"/>
        <v>1199.3544950124897</v>
      </c>
      <c r="H293" s="4">
        <v>50.298</v>
      </c>
    </row>
    <row r="294" spans="1:8" ht="12.75">
      <c r="A294" s="4">
        <v>50</v>
      </c>
      <c r="B294" s="4">
        <v>99.6</v>
      </c>
      <c r="C294" s="4">
        <v>38.884</v>
      </c>
      <c r="D294" s="43">
        <f t="shared" si="16"/>
        <v>75.116</v>
      </c>
      <c r="E294" s="43">
        <f t="shared" si="17"/>
        <v>36.71105480194127</v>
      </c>
      <c r="F294" s="43">
        <f t="shared" si="18"/>
        <v>81.40848750369274</v>
      </c>
      <c r="G294" s="43">
        <f t="shared" si="19"/>
        <v>1223.4596545658962</v>
      </c>
      <c r="H294" s="4">
        <v>50.019</v>
      </c>
    </row>
    <row r="295" spans="1:8" ht="12.75">
      <c r="A295" s="4">
        <v>50</v>
      </c>
      <c r="B295" s="4">
        <v>106.5</v>
      </c>
      <c r="C295" s="4">
        <v>33.14</v>
      </c>
      <c r="D295" s="43">
        <f t="shared" si="16"/>
        <v>80.86</v>
      </c>
      <c r="E295" s="43">
        <f t="shared" si="17"/>
        <v>36.81130905912151</v>
      </c>
      <c r="F295" s="43">
        <f t="shared" si="18"/>
        <v>87.86937850032588</v>
      </c>
      <c r="G295" s="43">
        <f t="shared" si="19"/>
        <v>1212.0263260949891</v>
      </c>
      <c r="H295" s="4">
        <v>50.271</v>
      </c>
    </row>
    <row r="296" spans="1:8" ht="12.75">
      <c r="A296" s="4">
        <v>50</v>
      </c>
      <c r="B296" s="4">
        <v>106</v>
      </c>
      <c r="C296" s="4">
        <v>33.649</v>
      </c>
      <c r="D296" s="43">
        <f t="shared" si="16"/>
        <v>80.351</v>
      </c>
      <c r="E296" s="43">
        <f t="shared" si="17"/>
        <v>36.80242510771052</v>
      </c>
      <c r="F296" s="43">
        <f t="shared" si="18"/>
        <v>87.29548240800204</v>
      </c>
      <c r="G296" s="43">
        <f t="shared" si="19"/>
        <v>1214.2667303741641</v>
      </c>
      <c r="H296" s="4">
        <v>50.047</v>
      </c>
    </row>
    <row r="297" spans="1:8" ht="12.75">
      <c r="A297" s="4">
        <v>80</v>
      </c>
      <c r="B297" s="13">
        <v>108.4</v>
      </c>
      <c r="C297" s="4">
        <v>34.096</v>
      </c>
      <c r="D297" s="43">
        <f t="shared" si="16"/>
        <v>79.904</v>
      </c>
      <c r="E297" s="43">
        <f t="shared" si="17"/>
        <v>36.79462328790558</v>
      </c>
      <c r="F297" s="43">
        <f t="shared" si="18"/>
        <v>86.79171091645216</v>
      </c>
      <c r="G297" s="43">
        <f t="shared" si="19"/>
        <v>1248.9671980812604</v>
      </c>
      <c r="H297" s="4">
        <v>80.758</v>
      </c>
    </row>
    <row r="298" spans="1:8" ht="12.75">
      <c r="A298" s="4">
        <v>80</v>
      </c>
      <c r="B298" s="13">
        <v>107.8</v>
      </c>
      <c r="C298" s="4">
        <v>35.834</v>
      </c>
      <c r="D298" s="43">
        <f t="shared" si="16"/>
        <v>78.166</v>
      </c>
      <c r="E298" s="43">
        <f t="shared" si="17"/>
        <v>36.7642886954649</v>
      </c>
      <c r="F298" s="43">
        <f t="shared" si="18"/>
        <v>84.83492744217672</v>
      </c>
      <c r="G298" s="43">
        <f t="shared" si="19"/>
        <v>1270.7030376548175</v>
      </c>
      <c r="H298" s="4">
        <v>80.452</v>
      </c>
    </row>
    <row r="299" spans="1:8" ht="12.75">
      <c r="A299" s="4">
        <v>80</v>
      </c>
      <c r="B299" s="13">
        <v>110.4</v>
      </c>
      <c r="C299" s="4">
        <v>33.253</v>
      </c>
      <c r="D299" s="43">
        <f t="shared" si="16"/>
        <v>80.747</v>
      </c>
      <c r="E299" s="43">
        <f t="shared" si="17"/>
        <v>36.809336787000795</v>
      </c>
      <c r="F299" s="43">
        <f t="shared" si="18"/>
        <v>87.74194829641469</v>
      </c>
      <c r="G299" s="43">
        <f t="shared" si="19"/>
        <v>1258.2351103834694</v>
      </c>
      <c r="H299" s="4">
        <v>80.621</v>
      </c>
    </row>
    <row r="300" spans="1:8" ht="12.75">
      <c r="A300" s="4">
        <v>80</v>
      </c>
      <c r="B300" s="13">
        <v>107.2</v>
      </c>
      <c r="C300" s="4">
        <v>34.892</v>
      </c>
      <c r="D300" s="43">
        <f t="shared" si="16"/>
        <v>79.108</v>
      </c>
      <c r="E300" s="43">
        <f t="shared" si="17"/>
        <v>36.78073011438269</v>
      </c>
      <c r="F300" s="43">
        <f t="shared" si="18"/>
        <v>85.89512319356936</v>
      </c>
      <c r="G300" s="43">
        <f t="shared" si="19"/>
        <v>1248.0336020756258</v>
      </c>
      <c r="H300" s="4">
        <v>80.732</v>
      </c>
    </row>
    <row r="301" spans="1:8" ht="12.75">
      <c r="A301" s="4">
        <v>80</v>
      </c>
      <c r="B301" s="13">
        <v>107.7</v>
      </c>
      <c r="C301" s="4">
        <v>35.739</v>
      </c>
      <c r="D301" s="43">
        <f t="shared" si="16"/>
        <v>78.261</v>
      </c>
      <c r="E301" s="43">
        <f t="shared" si="17"/>
        <v>36.76594680034515</v>
      </c>
      <c r="F301" s="43">
        <f t="shared" si="18"/>
        <v>84.94180604938205</v>
      </c>
      <c r="G301" s="43">
        <f t="shared" si="19"/>
        <v>1267.9268902922452</v>
      </c>
      <c r="H301" s="4">
        <v>80.621</v>
      </c>
    </row>
    <row r="302" spans="1:8" ht="12.75">
      <c r="A302" s="4">
        <v>150</v>
      </c>
      <c r="B302" s="4">
        <v>104.8</v>
      </c>
      <c r="C302" s="4">
        <v>38.936</v>
      </c>
      <c r="D302" s="43">
        <f t="shared" si="16"/>
        <v>75.064</v>
      </c>
      <c r="E302" s="43">
        <f t="shared" si="17"/>
        <v>36.71014720769104</v>
      </c>
      <c r="F302" s="43">
        <f t="shared" si="18"/>
        <v>81.35015230402404</v>
      </c>
      <c r="G302" s="43">
        <f t="shared" si="19"/>
        <v>1288.258190449829</v>
      </c>
      <c r="H302" s="4">
        <v>151.111</v>
      </c>
    </row>
    <row r="303" spans="1:8" ht="12.75">
      <c r="A303" s="4">
        <v>150</v>
      </c>
      <c r="B303" s="4">
        <v>102.4</v>
      </c>
      <c r="C303" s="4">
        <v>41.416</v>
      </c>
      <c r="D303" s="43">
        <f t="shared" si="16"/>
        <v>72.584</v>
      </c>
      <c r="E303" s="43">
        <f t="shared" si="17"/>
        <v>36.66686194344887</v>
      </c>
      <c r="F303" s="43">
        <f t="shared" si="18"/>
        <v>78.5712322338173</v>
      </c>
      <c r="G303" s="43">
        <f t="shared" si="19"/>
        <v>1303.2759839539176</v>
      </c>
      <c r="H303" s="4">
        <v>151.886</v>
      </c>
    </row>
    <row r="304" spans="1:8" ht="12.75">
      <c r="A304" s="4">
        <v>150</v>
      </c>
      <c r="B304" s="4">
        <v>110.4</v>
      </c>
      <c r="C304" s="4">
        <v>36.946</v>
      </c>
      <c r="D304" s="43">
        <f t="shared" si="16"/>
        <v>77.054</v>
      </c>
      <c r="E304" s="43">
        <f t="shared" si="17"/>
        <v>36.74488014149826</v>
      </c>
      <c r="F304" s="43">
        <f t="shared" si="18"/>
        <v>83.58457467289631</v>
      </c>
      <c r="G304" s="43">
        <f t="shared" si="19"/>
        <v>1320.8178713840969</v>
      </c>
      <c r="H304" s="4">
        <v>151.193</v>
      </c>
    </row>
    <row r="305" spans="1:8" ht="12.75">
      <c r="A305" s="4">
        <v>150</v>
      </c>
      <c r="B305" s="4">
        <v>108.8</v>
      </c>
      <c r="C305" s="4">
        <v>36.946</v>
      </c>
      <c r="D305" s="43">
        <f t="shared" si="16"/>
        <v>77.054</v>
      </c>
      <c r="E305" s="43">
        <f t="shared" si="17"/>
        <v>36.74488014149826</v>
      </c>
      <c r="F305" s="43">
        <f t="shared" si="18"/>
        <v>83.58457467289631</v>
      </c>
      <c r="G305" s="43">
        <f t="shared" si="19"/>
        <v>1301.675583393023</v>
      </c>
      <c r="H305" s="4">
        <v>151.193</v>
      </c>
    </row>
    <row r="306" spans="1:8" ht="12.75">
      <c r="A306" s="4">
        <v>150</v>
      </c>
      <c r="B306" s="4">
        <v>109.2</v>
      </c>
      <c r="C306" s="4">
        <v>36.509</v>
      </c>
      <c r="D306" s="43">
        <f t="shared" si="16"/>
        <v>77.491</v>
      </c>
      <c r="E306" s="43">
        <f t="shared" si="17"/>
        <v>36.75250742394738</v>
      </c>
      <c r="F306" s="43">
        <f t="shared" si="18"/>
        <v>84.07579381567895</v>
      </c>
      <c r="G306" s="43">
        <f t="shared" si="19"/>
        <v>1298.8280579235607</v>
      </c>
      <c r="H306" s="4">
        <v>149.91</v>
      </c>
    </row>
    <row r="307" spans="1:8" ht="12.75">
      <c r="A307" s="4">
        <v>300</v>
      </c>
      <c r="B307" s="4">
        <v>107.9</v>
      </c>
      <c r="C307" s="4">
        <v>40.304</v>
      </c>
      <c r="D307" s="43">
        <f t="shared" si="16"/>
        <v>73.696</v>
      </c>
      <c r="E307" s="43">
        <f t="shared" si="17"/>
        <v>36.68627049741552</v>
      </c>
      <c r="F307" s="43">
        <f t="shared" si="18"/>
        <v>79.81648418870364</v>
      </c>
      <c r="G307" s="43">
        <f t="shared" si="19"/>
        <v>1351.8510755861005</v>
      </c>
      <c r="H307" s="4">
        <v>301.593</v>
      </c>
    </row>
    <row r="308" spans="1:8" ht="12.75">
      <c r="A308" s="4">
        <v>300</v>
      </c>
      <c r="B308" s="4">
        <v>107</v>
      </c>
      <c r="C308" s="4">
        <v>41.08</v>
      </c>
      <c r="D308" s="43">
        <f t="shared" si="16"/>
        <v>72.92</v>
      </c>
      <c r="E308" s="43">
        <f t="shared" si="17"/>
        <v>36.67272639860426</v>
      </c>
      <c r="F308" s="43">
        <f t="shared" si="18"/>
        <v>78.94736177619562</v>
      </c>
      <c r="G308" s="43">
        <f t="shared" si="19"/>
        <v>1355.3334474092949</v>
      </c>
      <c r="H308" s="4">
        <v>302.207</v>
      </c>
    </row>
    <row r="309" spans="1:8" ht="12.75">
      <c r="A309" s="4">
        <v>300</v>
      </c>
      <c r="B309" s="4">
        <v>97.3</v>
      </c>
      <c r="C309" s="4">
        <v>47.51</v>
      </c>
      <c r="D309" s="43">
        <f t="shared" si="16"/>
        <v>66.49000000000001</v>
      </c>
      <c r="E309" s="43">
        <f t="shared" si="17"/>
        <v>36.5604988788151</v>
      </c>
      <c r="F309" s="43">
        <f t="shared" si="18"/>
        <v>71.7694677113787</v>
      </c>
      <c r="G309" s="43">
        <f t="shared" si="19"/>
        <v>1355.7297149157143</v>
      </c>
      <c r="H309" s="4">
        <v>301.993</v>
      </c>
    </row>
    <row r="310" spans="1:8" ht="12.75">
      <c r="A310" s="4">
        <v>300</v>
      </c>
      <c r="B310" s="4">
        <v>102.1</v>
      </c>
      <c r="C310" s="4">
        <v>44.169</v>
      </c>
      <c r="D310" s="43">
        <f t="shared" si="16"/>
        <v>69.831</v>
      </c>
      <c r="E310" s="43">
        <f t="shared" si="17"/>
        <v>36.61881180939295</v>
      </c>
      <c r="F310" s="43">
        <f t="shared" si="18"/>
        <v>75.49378878790422</v>
      </c>
      <c r="G310" s="43">
        <f t="shared" si="19"/>
        <v>1352.42914204299</v>
      </c>
      <c r="H310" s="4">
        <v>302.034</v>
      </c>
    </row>
    <row r="311" spans="1:8" ht="12.75">
      <c r="A311" s="4">
        <v>300</v>
      </c>
      <c r="B311" s="4">
        <v>109.7</v>
      </c>
      <c r="C311" s="4">
        <v>38.995</v>
      </c>
      <c r="D311" s="43">
        <f t="shared" si="16"/>
        <v>75.005</v>
      </c>
      <c r="E311" s="43">
        <f t="shared" si="17"/>
        <v>36.709117437291724</v>
      </c>
      <c r="F311" s="43">
        <f t="shared" si="18"/>
        <v>81.28396764877934</v>
      </c>
      <c r="G311" s="43">
        <f t="shared" si="19"/>
        <v>1349.5896321646571</v>
      </c>
      <c r="H311" s="4">
        <v>304.394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90" sqref="A90"/>
    </sheetView>
  </sheetViews>
  <sheetFormatPr defaultColWidth="11.421875" defaultRowHeight="12.75"/>
  <cols>
    <col min="1" max="1" width="10.7109375" style="0" customWidth="1"/>
    <col min="2" max="2" width="9.140625" style="0" customWidth="1"/>
    <col min="3" max="3" width="9.7109375" style="0" customWidth="1"/>
    <col min="4" max="4" width="7.00390625" style="0" customWidth="1"/>
    <col min="5" max="5" width="7.140625" style="0" customWidth="1"/>
    <col min="6" max="6" width="7.7109375" style="0" customWidth="1"/>
    <col min="7" max="7" width="14.140625" style="0" customWidth="1"/>
    <col min="8" max="8" width="12.421875" style="0" customWidth="1"/>
  </cols>
  <sheetData>
    <row r="1" spans="1:7" ht="15.75">
      <c r="A1" s="1" t="s">
        <v>66</v>
      </c>
      <c r="B1" s="2"/>
      <c r="C1" s="2"/>
      <c r="D1" s="2"/>
      <c r="E1" s="2"/>
      <c r="F1" s="2"/>
      <c r="G1" s="2"/>
    </row>
    <row r="2" spans="1:8" ht="15.75">
      <c r="A2" s="1"/>
      <c r="B2" s="35"/>
      <c r="C2" s="36"/>
      <c r="D2" s="44"/>
      <c r="E2" s="44"/>
      <c r="F2" s="44"/>
      <c r="G2" s="44"/>
      <c r="H2" s="36"/>
    </row>
    <row r="3" spans="1:8" ht="12.75">
      <c r="A3" s="3" t="s">
        <v>51</v>
      </c>
      <c r="B3" s="3" t="s">
        <v>37</v>
      </c>
      <c r="C3" s="3" t="s">
        <v>52</v>
      </c>
      <c r="D3" s="31" t="s">
        <v>53</v>
      </c>
      <c r="E3" s="31" t="s">
        <v>54</v>
      </c>
      <c r="F3" s="3" t="s">
        <v>55</v>
      </c>
      <c r="G3" s="3" t="s">
        <v>56</v>
      </c>
      <c r="H3" s="3" t="s">
        <v>57</v>
      </c>
    </row>
    <row r="4" spans="1:8" ht="12.75">
      <c r="A4" s="4">
        <v>20</v>
      </c>
      <c r="B4" s="4">
        <v>128.4</v>
      </c>
      <c r="C4" s="4">
        <v>21.11</v>
      </c>
      <c r="D4" s="43">
        <f aca="true" t="shared" si="0" ref="D4:D28">114-C4</f>
        <v>92.89</v>
      </c>
      <c r="E4" s="43">
        <f aca="true" t="shared" si="1" ref="E4:E28">2*(TAN(RADIANS(0.5))*D4+17.7)</f>
        <v>37.021277498167166</v>
      </c>
      <c r="F4" s="43">
        <f aca="true" t="shared" si="2" ref="F4:F28">(((3.14*D4)/12)*(37.6^2+37.6*E4+E4^2))*10^-3</f>
        <v>101.5109039058326</v>
      </c>
      <c r="G4" s="43">
        <f aca="true" t="shared" si="3" ref="G4:G28">(1000*B4)/F4</f>
        <v>1264.888746524327</v>
      </c>
      <c r="H4" s="4">
        <v>20.047</v>
      </c>
    </row>
    <row r="5" spans="1:8" ht="12.75">
      <c r="A5" s="4">
        <v>20</v>
      </c>
      <c r="B5" s="4">
        <v>126.4</v>
      </c>
      <c r="C5" s="4">
        <v>23.456</v>
      </c>
      <c r="D5" s="43">
        <f t="shared" si="0"/>
        <v>90.544</v>
      </c>
      <c r="E5" s="43">
        <f t="shared" si="1"/>
        <v>36.98033103449293</v>
      </c>
      <c r="F5" s="43">
        <f t="shared" si="2"/>
        <v>98.8389104178661</v>
      </c>
      <c r="G5" s="43">
        <f t="shared" si="3"/>
        <v>1278.848577605849</v>
      </c>
      <c r="H5" s="4">
        <v>20.045</v>
      </c>
    </row>
    <row r="6" spans="1:8" ht="12.75">
      <c r="A6" s="4">
        <v>20</v>
      </c>
      <c r="B6" s="4">
        <v>126.5</v>
      </c>
      <c r="C6" s="4">
        <v>22.074</v>
      </c>
      <c r="D6" s="43">
        <f t="shared" si="0"/>
        <v>91.926</v>
      </c>
      <c r="E6" s="43">
        <f t="shared" si="1"/>
        <v>37.00445209706658</v>
      </c>
      <c r="F6" s="43">
        <f t="shared" si="2"/>
        <v>100.41226040997309</v>
      </c>
      <c r="G6" s="43">
        <f t="shared" si="3"/>
        <v>1259.8063173113853</v>
      </c>
      <c r="H6" s="4">
        <v>20.124</v>
      </c>
    </row>
    <row r="7" spans="1:8" ht="12.75">
      <c r="A7" s="4">
        <v>20</v>
      </c>
      <c r="B7" s="4">
        <v>129.4</v>
      </c>
      <c r="C7" s="4">
        <v>19.894</v>
      </c>
      <c r="D7" s="43">
        <f t="shared" si="0"/>
        <v>94.106</v>
      </c>
      <c r="E7" s="43">
        <f t="shared" si="1"/>
        <v>37.042501240634294</v>
      </c>
      <c r="F7" s="43">
        <f t="shared" si="2"/>
        <v>102.89811597200182</v>
      </c>
      <c r="G7" s="43">
        <f t="shared" si="3"/>
        <v>1257.5546090193648</v>
      </c>
      <c r="H7" s="4">
        <v>20.042</v>
      </c>
    </row>
    <row r="8" spans="1:8" ht="12.75">
      <c r="A8" s="4">
        <v>20</v>
      </c>
      <c r="B8" s="4">
        <v>128.7</v>
      </c>
      <c r="C8" s="4">
        <v>22.59</v>
      </c>
      <c r="D8" s="43">
        <f t="shared" si="0"/>
        <v>91.41</v>
      </c>
      <c r="E8" s="43">
        <f t="shared" si="1"/>
        <v>36.99544596950652</v>
      </c>
      <c r="F8" s="43">
        <f t="shared" si="2"/>
        <v>99.82458471481156</v>
      </c>
      <c r="G8" s="43">
        <f t="shared" si="3"/>
        <v>1289.261561845536</v>
      </c>
      <c r="H8" s="4">
        <v>20.06</v>
      </c>
    </row>
    <row r="9" spans="1:8" ht="12.75">
      <c r="A9" s="4">
        <v>50</v>
      </c>
      <c r="B9" s="4">
        <v>123.5</v>
      </c>
      <c r="C9" s="4">
        <v>30.532</v>
      </c>
      <c r="D9" s="43">
        <f t="shared" si="0"/>
        <v>83.468</v>
      </c>
      <c r="E9" s="43">
        <f t="shared" si="1"/>
        <v>36.85682840151811</v>
      </c>
      <c r="F9" s="43">
        <f t="shared" si="2"/>
        <v>90.81407432413934</v>
      </c>
      <c r="G9" s="43">
        <f t="shared" si="3"/>
        <v>1359.9213659239203</v>
      </c>
      <c r="H9" s="4">
        <v>50.185</v>
      </c>
    </row>
    <row r="10" spans="1:8" ht="12.75">
      <c r="A10" s="4">
        <v>50</v>
      </c>
      <c r="B10" s="4">
        <v>124.9</v>
      </c>
      <c r="C10" s="4">
        <v>29.767</v>
      </c>
      <c r="D10" s="43">
        <f t="shared" si="0"/>
        <v>84.233</v>
      </c>
      <c r="E10" s="43">
        <f t="shared" si="1"/>
        <v>36.87018050923797</v>
      </c>
      <c r="F10" s="43">
        <f t="shared" si="2"/>
        <v>91.67916528624865</v>
      </c>
      <c r="G10" s="43">
        <f t="shared" si="3"/>
        <v>1362.359698738818</v>
      </c>
      <c r="H10" s="4">
        <v>50.125</v>
      </c>
    </row>
    <row r="11" spans="1:8" ht="12.75">
      <c r="A11" s="4">
        <v>50</v>
      </c>
      <c r="B11" s="4">
        <v>130.5</v>
      </c>
      <c r="C11" s="4">
        <v>26.377</v>
      </c>
      <c r="D11" s="43">
        <f t="shared" si="0"/>
        <v>87.623</v>
      </c>
      <c r="E11" s="43">
        <f t="shared" si="1"/>
        <v>36.92934867285931</v>
      </c>
      <c r="F11" s="43">
        <f t="shared" si="2"/>
        <v>95.51996557681272</v>
      </c>
      <c r="G11" s="43">
        <f t="shared" si="3"/>
        <v>1366.2065224998219</v>
      </c>
      <c r="H11" s="4">
        <v>50.034</v>
      </c>
    </row>
    <row r="12" spans="1:8" ht="12.75">
      <c r="A12" s="4">
        <v>50</v>
      </c>
      <c r="B12" s="4">
        <v>129.8</v>
      </c>
      <c r="C12" s="4">
        <v>27.414</v>
      </c>
      <c r="D12" s="43">
        <f t="shared" si="0"/>
        <v>86.586</v>
      </c>
      <c r="E12" s="43">
        <f t="shared" si="1"/>
        <v>36.91124914906128</v>
      </c>
      <c r="F12" s="43">
        <f t="shared" si="2"/>
        <v>94.34380763369917</v>
      </c>
      <c r="G12" s="43">
        <f t="shared" si="3"/>
        <v>1375.8189674086893</v>
      </c>
      <c r="H12" s="4">
        <v>50.221</v>
      </c>
    </row>
    <row r="13" spans="1:8" ht="12.75">
      <c r="A13" s="4">
        <v>50</v>
      </c>
      <c r="B13" s="4">
        <v>127.2</v>
      </c>
      <c r="C13" s="4">
        <v>28.82</v>
      </c>
      <c r="D13" s="43">
        <f t="shared" si="0"/>
        <v>85.18</v>
      </c>
      <c r="E13" s="43">
        <f t="shared" si="1"/>
        <v>36.886709196833664</v>
      </c>
      <c r="F13" s="43">
        <f t="shared" si="2"/>
        <v>92.75090405785649</v>
      </c>
      <c r="G13" s="43">
        <f t="shared" si="3"/>
        <v>1371.41520389553</v>
      </c>
      <c r="H13" s="4">
        <v>50.194</v>
      </c>
    </row>
    <row r="14" spans="1:8" ht="12.75">
      <c r="A14" s="4">
        <v>80</v>
      </c>
      <c r="B14" s="4">
        <v>125.8</v>
      </c>
      <c r="C14" s="4">
        <v>32.425</v>
      </c>
      <c r="D14" s="43">
        <f t="shared" si="0"/>
        <v>81.575</v>
      </c>
      <c r="E14" s="43">
        <f t="shared" si="1"/>
        <v>36.8237884800623</v>
      </c>
      <c r="F14" s="43">
        <f t="shared" si="2"/>
        <v>88.67598922486297</v>
      </c>
      <c r="G14" s="43">
        <f t="shared" si="3"/>
        <v>1418.6478335302088</v>
      </c>
      <c r="H14" s="4">
        <v>80.35</v>
      </c>
    </row>
    <row r="15" spans="1:8" ht="12.75">
      <c r="A15" s="4">
        <v>80</v>
      </c>
      <c r="B15" s="4">
        <v>127</v>
      </c>
      <c r="C15" s="4">
        <v>30.29</v>
      </c>
      <c r="D15" s="43">
        <f t="shared" si="0"/>
        <v>83.71000000000001</v>
      </c>
      <c r="E15" s="43">
        <f t="shared" si="1"/>
        <v>36.861052205528836</v>
      </c>
      <c r="F15" s="43">
        <f t="shared" si="2"/>
        <v>91.08767189060535</v>
      </c>
      <c r="G15" s="43">
        <f t="shared" si="3"/>
        <v>1394.2611262754053</v>
      </c>
      <c r="H15" s="4">
        <v>80.713</v>
      </c>
    </row>
    <row r="16" spans="1:8" ht="12.75">
      <c r="A16" s="4">
        <v>80</v>
      </c>
      <c r="B16" s="4">
        <v>128.5</v>
      </c>
      <c r="C16" s="4">
        <v>29.379</v>
      </c>
      <c r="D16" s="43">
        <f t="shared" si="0"/>
        <v>84.621</v>
      </c>
      <c r="E16" s="43">
        <f t="shared" si="1"/>
        <v>36.876952558643595</v>
      </c>
      <c r="F16" s="43">
        <f t="shared" si="2"/>
        <v>92.11816084965466</v>
      </c>
      <c r="G16" s="43">
        <f t="shared" si="3"/>
        <v>1394.9475197374366</v>
      </c>
      <c r="H16" s="4">
        <v>80.426</v>
      </c>
    </row>
    <row r="17" spans="1:8" ht="12.75">
      <c r="A17" s="4">
        <v>80</v>
      </c>
      <c r="B17" s="4">
        <v>132.9</v>
      </c>
      <c r="C17" s="4">
        <v>27.217</v>
      </c>
      <c r="D17" s="43">
        <f t="shared" si="0"/>
        <v>86.783</v>
      </c>
      <c r="E17" s="43">
        <f t="shared" si="1"/>
        <v>36.91468753497084</v>
      </c>
      <c r="F17" s="43">
        <f t="shared" si="2"/>
        <v>94.5671582503337</v>
      </c>
      <c r="G17" s="43">
        <f t="shared" si="3"/>
        <v>1405.3504668945789</v>
      </c>
      <c r="H17" s="4">
        <v>80.102</v>
      </c>
    </row>
    <row r="18" spans="1:8" ht="12.75">
      <c r="A18" s="4">
        <v>80</v>
      </c>
      <c r="B18" s="4">
        <v>125.2</v>
      </c>
      <c r="C18" s="4">
        <v>33.235</v>
      </c>
      <c r="D18" s="43">
        <f t="shared" si="0"/>
        <v>80.765</v>
      </c>
      <c r="E18" s="43">
        <f t="shared" si="1"/>
        <v>36.80965095424126</v>
      </c>
      <c r="F18" s="43">
        <f t="shared" si="2"/>
        <v>87.76224603336102</v>
      </c>
      <c r="G18" s="43">
        <f t="shared" si="3"/>
        <v>1426.5815388590645</v>
      </c>
      <c r="H18" s="4">
        <v>80.156</v>
      </c>
    </row>
    <row r="19" spans="1:8" ht="12.75">
      <c r="A19" s="4">
        <v>150</v>
      </c>
      <c r="B19" s="4">
        <v>122.8</v>
      </c>
      <c r="C19" s="4">
        <v>36.915</v>
      </c>
      <c r="D19" s="43">
        <f t="shared" si="0"/>
        <v>77.08500000000001</v>
      </c>
      <c r="E19" s="43">
        <f t="shared" si="1"/>
        <v>36.745421207301284</v>
      </c>
      <c r="F19" s="43">
        <f t="shared" si="2"/>
        <v>83.61941441878156</v>
      </c>
      <c r="G19" s="43">
        <f t="shared" si="3"/>
        <v>1468.558478357607</v>
      </c>
      <c r="H19" s="4">
        <v>150.149</v>
      </c>
    </row>
    <row r="20" spans="1:8" ht="12.75">
      <c r="A20" s="4">
        <v>150</v>
      </c>
      <c r="B20" s="4">
        <v>124.6</v>
      </c>
      <c r="C20" s="4">
        <v>37.003</v>
      </c>
      <c r="D20" s="43">
        <f t="shared" si="0"/>
        <v>76.997</v>
      </c>
      <c r="E20" s="43">
        <f t="shared" si="1"/>
        <v>36.743885278570104</v>
      </c>
      <c r="F20" s="43">
        <f t="shared" si="2"/>
        <v>83.52051707066298</v>
      </c>
      <c r="G20" s="43">
        <f t="shared" si="3"/>
        <v>1491.8490015403222</v>
      </c>
      <c r="H20" s="4">
        <v>150.276</v>
      </c>
    </row>
    <row r="21" spans="1:8" ht="12.75">
      <c r="A21" s="4">
        <v>150</v>
      </c>
      <c r="B21" s="4">
        <v>125.6</v>
      </c>
      <c r="C21" s="4">
        <v>34.575</v>
      </c>
      <c r="D21" s="43">
        <f t="shared" si="0"/>
        <v>79.425</v>
      </c>
      <c r="E21" s="43">
        <f t="shared" si="1"/>
        <v>36.78626294856203</v>
      </c>
      <c r="F21" s="43">
        <f t="shared" si="2"/>
        <v>86.25210331083841</v>
      </c>
      <c r="G21" s="43">
        <f t="shared" si="3"/>
        <v>1456.1963729436052</v>
      </c>
      <c r="H21" s="4">
        <v>150.282</v>
      </c>
    </row>
    <row r="22" spans="1:8" ht="12.75">
      <c r="A22" s="4">
        <v>150</v>
      </c>
      <c r="B22" s="4">
        <v>132.2</v>
      </c>
      <c r="C22" s="4">
        <v>30.908</v>
      </c>
      <c r="D22" s="43">
        <f t="shared" si="0"/>
        <v>83.092</v>
      </c>
      <c r="E22" s="43">
        <f t="shared" si="1"/>
        <v>36.85026579693946</v>
      </c>
      <c r="F22" s="43">
        <f t="shared" si="2"/>
        <v>90.3891002584371</v>
      </c>
      <c r="G22" s="43">
        <f t="shared" si="3"/>
        <v>1462.565725535698</v>
      </c>
      <c r="H22" s="4">
        <v>150.337</v>
      </c>
    </row>
    <row r="23" spans="1:8" ht="12.75">
      <c r="A23" s="4">
        <v>150</v>
      </c>
      <c r="B23" s="4">
        <v>130.7</v>
      </c>
      <c r="C23" s="4">
        <v>31.897</v>
      </c>
      <c r="D23" s="43">
        <f t="shared" si="0"/>
        <v>82.10300000000001</v>
      </c>
      <c r="E23" s="43">
        <f t="shared" si="1"/>
        <v>36.83300405244934</v>
      </c>
      <c r="F23" s="43">
        <f t="shared" si="2"/>
        <v>89.2719779305899</v>
      </c>
      <c r="G23" s="43">
        <f t="shared" si="3"/>
        <v>1464.0652423050478</v>
      </c>
      <c r="H23" s="4">
        <v>150.31</v>
      </c>
    </row>
    <row r="24" spans="1:8" ht="12.75">
      <c r="A24" s="4">
        <v>300</v>
      </c>
      <c r="B24" s="4">
        <v>124</v>
      </c>
      <c r="C24" s="4">
        <v>39.756</v>
      </c>
      <c r="D24" s="43">
        <f t="shared" si="0"/>
        <v>74.244</v>
      </c>
      <c r="E24" s="43">
        <f t="shared" si="1"/>
        <v>36.69583514451419</v>
      </c>
      <c r="F24" s="43">
        <f t="shared" si="2"/>
        <v>80.43061786449543</v>
      </c>
      <c r="G24" s="43">
        <f t="shared" si="3"/>
        <v>1541.7014476863474</v>
      </c>
      <c r="H24" s="4">
        <v>300.912</v>
      </c>
    </row>
    <row r="25" spans="1:8" ht="12.75">
      <c r="A25" s="4">
        <v>300</v>
      </c>
      <c r="B25" s="4">
        <v>122.2</v>
      </c>
      <c r="C25" s="4">
        <v>41.061</v>
      </c>
      <c r="D25" s="43">
        <f t="shared" si="0"/>
        <v>72.939</v>
      </c>
      <c r="E25" s="43">
        <f t="shared" si="1"/>
        <v>36.67305801958031</v>
      </c>
      <c r="F25" s="43">
        <f t="shared" si="2"/>
        <v>78.96863446296153</v>
      </c>
      <c r="G25" s="43">
        <f t="shared" si="3"/>
        <v>1547.4498303160499</v>
      </c>
      <c r="H25" s="4">
        <v>300.615</v>
      </c>
    </row>
    <row r="26" spans="1:8" ht="12.75">
      <c r="A26" s="4">
        <v>300</v>
      </c>
      <c r="B26" s="4">
        <v>127.4</v>
      </c>
      <c r="C26" s="4">
        <v>37.379</v>
      </c>
      <c r="D26" s="43">
        <f t="shared" si="0"/>
        <v>76.62100000000001</v>
      </c>
      <c r="E26" s="43">
        <f t="shared" si="1"/>
        <v>36.73732267399146</v>
      </c>
      <c r="F26" s="43">
        <f t="shared" si="2"/>
        <v>83.09804525431147</v>
      </c>
      <c r="G26" s="43">
        <f t="shared" si="3"/>
        <v>1533.1287229453808</v>
      </c>
      <c r="H26" s="4">
        <v>300.722</v>
      </c>
    </row>
    <row r="27" spans="1:8" ht="12.75">
      <c r="A27" s="4">
        <v>300</v>
      </c>
      <c r="B27" s="4">
        <v>131.1</v>
      </c>
      <c r="C27" s="4">
        <v>34.861</v>
      </c>
      <c r="D27" s="43">
        <f t="shared" si="0"/>
        <v>79.13900000000001</v>
      </c>
      <c r="E27" s="43">
        <f t="shared" si="1"/>
        <v>36.78127118018572</v>
      </c>
      <c r="F27" s="43">
        <f t="shared" si="2"/>
        <v>85.93002836387075</v>
      </c>
      <c r="G27" s="43">
        <f t="shared" si="3"/>
        <v>1525.659917681593</v>
      </c>
      <c r="H27" s="4">
        <v>300.121</v>
      </c>
    </row>
    <row r="28" spans="1:8" ht="12.75">
      <c r="A28" s="4">
        <v>300</v>
      </c>
      <c r="B28" s="4">
        <v>127.5</v>
      </c>
      <c r="C28" s="4">
        <v>37.205</v>
      </c>
      <c r="D28" s="43">
        <f t="shared" si="0"/>
        <v>76.795</v>
      </c>
      <c r="E28" s="43">
        <f t="shared" si="1"/>
        <v>36.74035962398264</v>
      </c>
      <c r="F28" s="43">
        <f t="shared" si="2"/>
        <v>83.29353278264638</v>
      </c>
      <c r="G28" s="43">
        <f t="shared" si="3"/>
        <v>1530.73108728273</v>
      </c>
      <c r="H28" s="4">
        <v>301.02</v>
      </c>
    </row>
    <row r="31" ht="15.75">
      <c r="A31" s="1" t="s">
        <v>67</v>
      </c>
    </row>
    <row r="32" spans="3:8" ht="12.75">
      <c r="C32" s="36"/>
      <c r="D32" s="44"/>
      <c r="E32" s="44"/>
      <c r="F32" s="44"/>
      <c r="G32" s="44"/>
      <c r="H32" s="36"/>
    </row>
    <row r="33" spans="1:8" ht="12.75">
      <c r="A33" s="4">
        <v>20</v>
      </c>
      <c r="B33" s="4">
        <v>125.5</v>
      </c>
      <c r="C33" s="4">
        <v>25.321</v>
      </c>
      <c r="D33" s="43">
        <f aca="true" t="shared" si="4" ref="D33:D57">114-C33</f>
        <v>88.679</v>
      </c>
      <c r="E33" s="43">
        <f aca="true" t="shared" si="5" ref="E33:E57">2*(TAN(RADIANS(0.5))*D33+17.7)</f>
        <v>36.947779817633396</v>
      </c>
      <c r="F33" s="43">
        <f aca="true" t="shared" si="6" ref="F33:F57">(((3.14*D33)/12)*(37.6^2+37.6*E33+E33^2))*10^-3</f>
        <v>96.71881370542312</v>
      </c>
      <c r="G33" s="43">
        <f aca="true" t="shared" si="7" ref="G33:G57">(1000*B33)/F33</f>
        <v>1297.5758820019842</v>
      </c>
      <c r="H33" s="4">
        <v>20.269</v>
      </c>
    </row>
    <row r="34" spans="1:8" ht="12.75">
      <c r="A34" s="4">
        <v>20</v>
      </c>
      <c r="B34" s="4">
        <v>105.8</v>
      </c>
      <c r="C34" s="4">
        <v>40.635</v>
      </c>
      <c r="D34" s="43">
        <f t="shared" si="4"/>
        <v>73.36500000000001</v>
      </c>
      <c r="E34" s="43">
        <f t="shared" si="5"/>
        <v>36.68049331093803</v>
      </c>
      <c r="F34" s="43">
        <f t="shared" si="6"/>
        <v>79.44568765556586</v>
      </c>
      <c r="G34" s="43">
        <f t="shared" si="7"/>
        <v>1331.7274117972568</v>
      </c>
      <c r="H34" s="4">
        <v>20.28</v>
      </c>
    </row>
    <row r="35" spans="1:8" ht="12.75">
      <c r="A35" s="4">
        <v>20</v>
      </c>
      <c r="B35" s="4">
        <v>130.7</v>
      </c>
      <c r="C35" s="4">
        <v>21.094</v>
      </c>
      <c r="D35" s="43">
        <f t="shared" si="4"/>
        <v>92.906</v>
      </c>
      <c r="E35" s="43">
        <f t="shared" si="5"/>
        <v>37.02155675793647</v>
      </c>
      <c r="F35" s="43">
        <f t="shared" si="6"/>
        <v>101.52914676246144</v>
      </c>
      <c r="G35" s="43">
        <f t="shared" si="7"/>
        <v>1287.3150633855612</v>
      </c>
      <c r="H35" s="4">
        <v>20.104</v>
      </c>
    </row>
    <row r="36" spans="1:8" ht="12.75">
      <c r="A36" s="4">
        <v>20</v>
      </c>
      <c r="B36" s="4">
        <v>130.7</v>
      </c>
      <c r="C36" s="4">
        <v>20.146</v>
      </c>
      <c r="D36" s="43">
        <f t="shared" si="4"/>
        <v>93.854</v>
      </c>
      <c r="E36" s="43">
        <f t="shared" si="5"/>
        <v>37.03810289926775</v>
      </c>
      <c r="F36" s="43">
        <f t="shared" si="6"/>
        <v>102.61050881938573</v>
      </c>
      <c r="G36" s="43">
        <f t="shared" si="7"/>
        <v>1273.7486784132138</v>
      </c>
      <c r="H36" s="4">
        <v>20.146</v>
      </c>
    </row>
    <row r="37" spans="1:8" ht="12.75">
      <c r="A37" s="4">
        <v>20</v>
      </c>
      <c r="B37" s="4">
        <v>120.7</v>
      </c>
      <c r="C37" s="4">
        <v>25.12</v>
      </c>
      <c r="D37" s="43">
        <f t="shared" si="4"/>
        <v>88.88</v>
      </c>
      <c r="E37" s="43">
        <f t="shared" si="5"/>
        <v>36.95128801848528</v>
      </c>
      <c r="F37" s="43">
        <f t="shared" si="6"/>
        <v>96.94713397156131</v>
      </c>
      <c r="G37" s="43">
        <f t="shared" si="7"/>
        <v>1245.0084397070098</v>
      </c>
      <c r="H37" s="4">
        <v>20.232</v>
      </c>
    </row>
    <row r="38" spans="1:8" ht="12.75">
      <c r="A38" s="4">
        <v>50</v>
      </c>
      <c r="B38" s="4">
        <v>126.1</v>
      </c>
      <c r="C38" s="4">
        <v>31.357</v>
      </c>
      <c r="D38" s="43">
        <f t="shared" si="4"/>
        <v>82.643</v>
      </c>
      <c r="E38" s="43">
        <f t="shared" si="5"/>
        <v>36.84242906966335</v>
      </c>
      <c r="F38" s="43">
        <f t="shared" si="6"/>
        <v>89.8818086743795</v>
      </c>
      <c r="G38" s="43">
        <f t="shared" si="7"/>
        <v>1402.9535215165777</v>
      </c>
      <c r="H38" s="4">
        <v>50.249</v>
      </c>
    </row>
    <row r="39" spans="1:8" ht="12.75">
      <c r="A39" s="4">
        <v>50</v>
      </c>
      <c r="B39" s="4">
        <v>109.7</v>
      </c>
      <c r="C39" s="4">
        <v>42.026</v>
      </c>
      <c r="D39" s="43">
        <f t="shared" si="4"/>
        <v>71.97399999999999</v>
      </c>
      <c r="E39" s="43">
        <f t="shared" si="5"/>
        <v>36.65621516474415</v>
      </c>
      <c r="F39" s="43">
        <f t="shared" si="6"/>
        <v>77.88867369355711</v>
      </c>
      <c r="G39" s="43">
        <f t="shared" si="7"/>
        <v>1408.4204390435564</v>
      </c>
      <c r="H39" s="4">
        <v>50.186</v>
      </c>
    </row>
    <row r="40" spans="1:8" ht="12.75">
      <c r="A40" s="4">
        <v>50</v>
      </c>
      <c r="B40" s="4">
        <v>118.3</v>
      </c>
      <c r="C40" s="4">
        <v>36.113</v>
      </c>
      <c r="D40" s="43">
        <f t="shared" si="4"/>
        <v>77.887</v>
      </c>
      <c r="E40" s="43">
        <f t="shared" si="5"/>
        <v>36.75941910323766</v>
      </c>
      <c r="F40" s="43">
        <f t="shared" si="6"/>
        <v>84.5210954558385</v>
      </c>
      <c r="G40" s="43">
        <f t="shared" si="7"/>
        <v>1399.650576722715</v>
      </c>
      <c r="H40" s="4">
        <v>50.297</v>
      </c>
    </row>
    <row r="41" spans="1:8" ht="12.75">
      <c r="A41" s="4">
        <v>50</v>
      </c>
      <c r="B41" s="4">
        <v>128.1</v>
      </c>
      <c r="C41" s="4">
        <v>29.478</v>
      </c>
      <c r="D41" s="43">
        <f t="shared" si="4"/>
        <v>84.52199999999999</v>
      </c>
      <c r="E41" s="43">
        <f t="shared" si="5"/>
        <v>36.875224638821024</v>
      </c>
      <c r="F41" s="43">
        <f t="shared" si="6"/>
        <v>92.00613435278247</v>
      </c>
      <c r="G41" s="43">
        <f t="shared" si="7"/>
        <v>1392.2984690218752</v>
      </c>
      <c r="H41" s="4">
        <v>50.311</v>
      </c>
    </row>
    <row r="42" spans="1:8" ht="12.75">
      <c r="A42" s="4">
        <v>50</v>
      </c>
      <c r="B42" s="4">
        <v>121.3</v>
      </c>
      <c r="C42" s="4">
        <v>39.403</v>
      </c>
      <c r="D42" s="43">
        <f t="shared" si="4"/>
        <v>74.59700000000001</v>
      </c>
      <c r="E42" s="43">
        <f t="shared" si="5"/>
        <v>36.70199631317447</v>
      </c>
      <c r="F42" s="43">
        <f t="shared" si="6"/>
        <v>80.82638167193683</v>
      </c>
      <c r="G42" s="43">
        <f t="shared" si="7"/>
        <v>1500.7476208985827</v>
      </c>
      <c r="H42" s="4">
        <v>50.506</v>
      </c>
    </row>
    <row r="43" spans="1:8" ht="12.75">
      <c r="A43" s="4">
        <v>80</v>
      </c>
      <c r="B43" s="4">
        <v>123.3</v>
      </c>
      <c r="C43" s="4">
        <v>34.125</v>
      </c>
      <c r="D43" s="43">
        <f t="shared" si="4"/>
        <v>79.875</v>
      </c>
      <c r="E43" s="43">
        <f t="shared" si="5"/>
        <v>36.79411712957371</v>
      </c>
      <c r="F43" s="43">
        <f t="shared" si="6"/>
        <v>86.75903485297246</v>
      </c>
      <c r="G43" s="43">
        <f t="shared" si="7"/>
        <v>1421.1776353777132</v>
      </c>
      <c r="H43" s="4">
        <v>80.536</v>
      </c>
    </row>
    <row r="44" spans="1:8" ht="12.75">
      <c r="A44" s="4">
        <v>80</v>
      </c>
      <c r="B44" s="4">
        <v>126.5</v>
      </c>
      <c r="C44" s="4">
        <v>32.005</v>
      </c>
      <c r="D44" s="43">
        <f t="shared" si="4"/>
        <v>81.995</v>
      </c>
      <c r="E44" s="43">
        <f t="shared" si="5"/>
        <v>36.83111904900653</v>
      </c>
      <c r="F44" s="43">
        <f t="shared" si="6"/>
        <v>89.15004780523358</v>
      </c>
      <c r="G44" s="43">
        <f t="shared" si="7"/>
        <v>1418.9560534657815</v>
      </c>
      <c r="H44" s="4">
        <v>80.305</v>
      </c>
    </row>
    <row r="45" spans="1:8" ht="12.75">
      <c r="A45" s="4">
        <v>80</v>
      </c>
      <c r="B45" s="4">
        <v>126.5</v>
      </c>
      <c r="C45" s="4">
        <v>32.312</v>
      </c>
      <c r="D45" s="43">
        <f t="shared" si="4"/>
        <v>81.688</v>
      </c>
      <c r="E45" s="43">
        <f t="shared" si="5"/>
        <v>36.82576075218301</v>
      </c>
      <c r="F45" s="43">
        <f t="shared" si="6"/>
        <v>88.80351570453695</v>
      </c>
      <c r="G45" s="43">
        <f t="shared" si="7"/>
        <v>1424.493152060388</v>
      </c>
      <c r="H45" s="4">
        <v>80.513</v>
      </c>
    </row>
    <row r="46" spans="1:8" ht="12.75">
      <c r="A46" s="4">
        <v>80</v>
      </c>
      <c r="B46" s="4">
        <v>112.5</v>
      </c>
      <c r="C46" s="4">
        <v>42.42</v>
      </c>
      <c r="D46" s="43">
        <f t="shared" si="4"/>
        <v>71.58</v>
      </c>
      <c r="E46" s="43">
        <f t="shared" si="5"/>
        <v>36.649338392925024</v>
      </c>
      <c r="F46" s="43">
        <f t="shared" si="6"/>
        <v>77.44801066634436</v>
      </c>
      <c r="G46" s="43">
        <f t="shared" si="7"/>
        <v>1452.5873425550458</v>
      </c>
      <c r="H46" s="4">
        <v>81.523</v>
      </c>
    </row>
    <row r="47" spans="1:8" ht="12.75">
      <c r="A47" s="4">
        <v>80</v>
      </c>
      <c r="B47" s="4">
        <v>121.8</v>
      </c>
      <c r="C47" s="4">
        <v>38.709</v>
      </c>
      <c r="D47" s="43">
        <f t="shared" si="4"/>
        <v>75.291</v>
      </c>
      <c r="E47" s="43">
        <f t="shared" si="5"/>
        <v>36.71410920566804</v>
      </c>
      <c r="F47" s="43">
        <f t="shared" si="6"/>
        <v>81.60482826779452</v>
      </c>
      <c r="G47" s="43">
        <f t="shared" si="7"/>
        <v>1492.5587441995583</v>
      </c>
      <c r="H47" s="4">
        <v>80.338</v>
      </c>
    </row>
    <row r="48" spans="1:8" ht="12.75">
      <c r="A48" s="4">
        <v>150</v>
      </c>
      <c r="B48" s="4">
        <v>118.1</v>
      </c>
      <c r="C48" s="4">
        <v>41.831</v>
      </c>
      <c r="D48" s="43">
        <f t="shared" si="4"/>
        <v>72.169</v>
      </c>
      <c r="E48" s="43">
        <f t="shared" si="5"/>
        <v>36.65961864318254</v>
      </c>
      <c r="F48" s="43">
        <f t="shared" si="6"/>
        <v>78.10682717522026</v>
      </c>
      <c r="G48" s="43">
        <f t="shared" si="7"/>
        <v>1512.0317169594075</v>
      </c>
      <c r="H48" s="4">
        <v>151.343</v>
      </c>
    </row>
    <row r="49" spans="1:8" ht="12.75">
      <c r="A49" s="4">
        <v>150</v>
      </c>
      <c r="B49" s="4">
        <v>113.1</v>
      </c>
      <c r="C49" s="4">
        <v>44.047</v>
      </c>
      <c r="D49" s="43">
        <f t="shared" si="4"/>
        <v>69.953</v>
      </c>
      <c r="E49" s="43">
        <f t="shared" si="5"/>
        <v>36.6209411651339</v>
      </c>
      <c r="F49" s="43">
        <f t="shared" si="6"/>
        <v>75.63000225202522</v>
      </c>
      <c r="G49" s="43">
        <f t="shared" si="7"/>
        <v>1495.4382735982454</v>
      </c>
      <c r="H49" s="4">
        <v>151.234</v>
      </c>
    </row>
    <row r="50" spans="1:8" ht="12.75">
      <c r="A50" s="4">
        <v>150</v>
      </c>
      <c r="B50" s="4">
        <v>127.7</v>
      </c>
      <c r="C50" s="4">
        <v>34.596</v>
      </c>
      <c r="D50" s="43">
        <f t="shared" si="4"/>
        <v>79.404</v>
      </c>
      <c r="E50" s="43">
        <f t="shared" si="5"/>
        <v>36.785896420114824</v>
      </c>
      <c r="F50" s="43">
        <f t="shared" si="6"/>
        <v>86.22845159047256</v>
      </c>
      <c r="G50" s="43">
        <f t="shared" si="7"/>
        <v>1480.9497056318435</v>
      </c>
      <c r="H50" s="4">
        <v>150.464</v>
      </c>
    </row>
    <row r="51" spans="1:8" ht="12.75">
      <c r="A51" s="4">
        <v>150</v>
      </c>
      <c r="B51" s="4">
        <v>114.5</v>
      </c>
      <c r="C51" s="4">
        <v>42.356</v>
      </c>
      <c r="D51" s="43">
        <f t="shared" si="4"/>
        <v>71.644</v>
      </c>
      <c r="E51" s="43">
        <f t="shared" si="5"/>
        <v>36.650455432002246</v>
      </c>
      <c r="F51" s="43">
        <f t="shared" si="6"/>
        <v>77.51957962925809</v>
      </c>
      <c r="G51" s="43">
        <f t="shared" si="7"/>
        <v>1477.0461933308065</v>
      </c>
      <c r="H51" s="4">
        <v>151.759</v>
      </c>
    </row>
    <row r="52" spans="1:8" ht="12.75">
      <c r="A52" s="4">
        <v>150</v>
      </c>
      <c r="B52" s="4">
        <v>120.4</v>
      </c>
      <c r="C52" s="4">
        <v>41.685</v>
      </c>
      <c r="D52" s="43">
        <f t="shared" si="4"/>
        <v>72.315</v>
      </c>
      <c r="E52" s="43">
        <f t="shared" si="5"/>
        <v>36.662166888577445</v>
      </c>
      <c r="F52" s="43">
        <f t="shared" si="6"/>
        <v>78.27018810906705</v>
      </c>
      <c r="G52" s="43">
        <f t="shared" si="7"/>
        <v>1538.2612832388543</v>
      </c>
      <c r="H52" s="4">
        <v>151.392</v>
      </c>
    </row>
    <row r="53" spans="1:8" ht="12.75">
      <c r="A53" s="4">
        <v>300</v>
      </c>
      <c r="B53" s="4">
        <v>112.9</v>
      </c>
      <c r="C53" s="4">
        <v>47.709</v>
      </c>
      <c r="D53" s="43">
        <f t="shared" si="4"/>
        <v>66.291</v>
      </c>
      <c r="E53" s="43">
        <f t="shared" si="5"/>
        <v>36.55702558543438</v>
      </c>
      <c r="F53" s="43">
        <f t="shared" si="6"/>
        <v>71.54799609022686</v>
      </c>
      <c r="G53" s="43">
        <f t="shared" si="7"/>
        <v>1577.961734352776</v>
      </c>
      <c r="H53" s="4">
        <v>302.575</v>
      </c>
    </row>
    <row r="54" spans="1:8" ht="12.75">
      <c r="A54" s="4">
        <v>300</v>
      </c>
      <c r="B54" s="4">
        <v>116.4</v>
      </c>
      <c r="C54" s="4">
        <v>45.52</v>
      </c>
      <c r="D54" s="43">
        <f t="shared" si="4"/>
        <v>68.47999999999999</v>
      </c>
      <c r="E54" s="43">
        <f t="shared" si="5"/>
        <v>36.59523181262232</v>
      </c>
      <c r="F54" s="43">
        <f t="shared" si="6"/>
        <v>73.98641038457427</v>
      </c>
      <c r="G54" s="43">
        <f t="shared" si="7"/>
        <v>1573.2618922172862</v>
      </c>
      <c r="H54" s="4">
        <v>301.635</v>
      </c>
    </row>
    <row r="55" spans="1:8" ht="12.75">
      <c r="A55" s="4">
        <v>300</v>
      </c>
      <c r="B55" s="4">
        <v>123</v>
      </c>
      <c r="C55" s="4">
        <v>41.147</v>
      </c>
      <c r="D55" s="43">
        <f t="shared" si="4"/>
        <v>72.85300000000001</v>
      </c>
      <c r="E55" s="43">
        <f t="shared" si="5"/>
        <v>36.6715569983203</v>
      </c>
      <c r="F55" s="43">
        <f t="shared" si="6"/>
        <v>78.87235051801315</v>
      </c>
      <c r="G55" s="43">
        <f t="shared" si="7"/>
        <v>1559.481861414905</v>
      </c>
      <c r="H55" s="4">
        <v>301.373</v>
      </c>
    </row>
    <row r="56" spans="1:8" ht="12.75">
      <c r="A56" s="4">
        <v>300</v>
      </c>
      <c r="B56" s="4">
        <v>121.2</v>
      </c>
      <c r="C56" s="4">
        <v>43.064</v>
      </c>
      <c r="D56" s="43">
        <f t="shared" si="4"/>
        <v>70.936</v>
      </c>
      <c r="E56" s="43">
        <f t="shared" si="5"/>
        <v>36.63809818721053</v>
      </c>
      <c r="F56" s="43">
        <f t="shared" si="6"/>
        <v>76.7280814885432</v>
      </c>
      <c r="G56" s="43">
        <f t="shared" si="7"/>
        <v>1579.6042029031732</v>
      </c>
      <c r="H56" s="4">
        <v>302.042</v>
      </c>
    </row>
    <row r="57" spans="1:8" ht="12.75">
      <c r="A57" s="4">
        <v>300</v>
      </c>
      <c r="B57" s="4">
        <v>118.4</v>
      </c>
      <c r="C57" s="4">
        <v>46.464</v>
      </c>
      <c r="D57" s="43">
        <f t="shared" si="4"/>
        <v>67.536</v>
      </c>
      <c r="E57" s="43">
        <f t="shared" si="5"/>
        <v>36.57875548623337</v>
      </c>
      <c r="F57" s="43">
        <f t="shared" si="6"/>
        <v>72.93425038412876</v>
      </c>
      <c r="G57" s="43">
        <f t="shared" si="7"/>
        <v>1623.3799535391545</v>
      </c>
      <c r="H57" s="4">
        <v>302.291</v>
      </c>
    </row>
    <row r="60" ht="15.75">
      <c r="A60" s="1" t="s">
        <v>68</v>
      </c>
    </row>
    <row r="61" spans="3:8" ht="12.75">
      <c r="C61" s="36"/>
      <c r="D61" s="44"/>
      <c r="E61" s="44"/>
      <c r="F61" s="44"/>
      <c r="G61" s="44"/>
      <c r="H61" s="36"/>
    </row>
    <row r="62" spans="1:8" ht="12.75">
      <c r="A62" s="4">
        <v>20</v>
      </c>
      <c r="B62" s="4">
        <v>130.6</v>
      </c>
      <c r="C62" s="4">
        <v>22.154</v>
      </c>
      <c r="D62" s="43">
        <f aca="true" t="shared" si="8" ref="D62:D86">114-C62</f>
        <v>91.846</v>
      </c>
      <c r="E62" s="43">
        <f aca="true" t="shared" si="9" ref="E62:E86">2*(TAN(RADIANS(0.5))*D62+17.7)</f>
        <v>37.00305579822006</v>
      </c>
      <c r="F62" s="43">
        <f aca="true" t="shared" si="10" ref="F62:F86">(((3.14*D62)/12)*(37.6^2+37.6*E62+E62^2))*10^-3</f>
        <v>100.3211298659688</v>
      </c>
      <c r="G62" s="43">
        <f aca="true" t="shared" si="11" ref="G62:G86">(1000*B62)/F62</f>
        <v>1301.8194688844158</v>
      </c>
      <c r="H62" s="4">
        <v>20.087</v>
      </c>
    </row>
    <row r="63" spans="1:8" ht="12.75">
      <c r="A63" s="4">
        <v>20</v>
      </c>
      <c r="B63" s="4">
        <v>128.2</v>
      </c>
      <c r="C63" s="4">
        <v>24.423</v>
      </c>
      <c r="D63" s="43">
        <f t="shared" si="8"/>
        <v>89.577</v>
      </c>
      <c r="E63" s="43">
        <f t="shared" si="9"/>
        <v>36.963453272185596</v>
      </c>
      <c r="F63" s="43">
        <f t="shared" si="10"/>
        <v>97.7391946068077</v>
      </c>
      <c r="G63" s="43">
        <f t="shared" si="11"/>
        <v>1311.6539430852915</v>
      </c>
      <c r="H63" s="4">
        <v>20.063</v>
      </c>
    </row>
    <row r="64" spans="1:8" ht="12.75">
      <c r="A64" s="4">
        <v>20</v>
      </c>
      <c r="B64" s="4">
        <v>128.3</v>
      </c>
      <c r="C64" s="4">
        <v>24.757</v>
      </c>
      <c r="D64" s="43">
        <f t="shared" si="8"/>
        <v>89.243</v>
      </c>
      <c r="E64" s="43">
        <f t="shared" si="9"/>
        <v>36.957623724501374</v>
      </c>
      <c r="F64" s="43">
        <f t="shared" si="10"/>
        <v>97.35957926733941</v>
      </c>
      <c r="G64" s="43">
        <f t="shared" si="11"/>
        <v>1317.7953414085878</v>
      </c>
      <c r="H64" s="4">
        <v>20.419</v>
      </c>
    </row>
    <row r="65" spans="1:8" ht="12.75">
      <c r="A65" s="4">
        <v>20</v>
      </c>
      <c r="B65" s="4">
        <v>127.1</v>
      </c>
      <c r="C65" s="4">
        <v>26.281</v>
      </c>
      <c r="D65" s="43">
        <f t="shared" si="8"/>
        <v>87.719</v>
      </c>
      <c r="E65" s="43">
        <f t="shared" si="9"/>
        <v>36.93102423147514</v>
      </c>
      <c r="F65" s="43">
        <f t="shared" si="10"/>
        <v>95.62890420515463</v>
      </c>
      <c r="G65" s="43">
        <f t="shared" si="11"/>
        <v>1329.0960620789901</v>
      </c>
      <c r="H65" s="4">
        <v>20.02</v>
      </c>
    </row>
    <row r="66" spans="1:8" ht="12.75">
      <c r="A66" s="4">
        <v>20</v>
      </c>
      <c r="B66" s="4">
        <v>127.9</v>
      </c>
      <c r="C66" s="4">
        <v>26.012</v>
      </c>
      <c r="D66" s="43">
        <f t="shared" si="8"/>
        <v>87.988</v>
      </c>
      <c r="E66" s="43">
        <f t="shared" si="9"/>
        <v>36.93571928634657</v>
      </c>
      <c r="F66" s="43">
        <f t="shared" si="10"/>
        <v>95.93420998934118</v>
      </c>
      <c r="G66" s="43">
        <f t="shared" si="11"/>
        <v>1333.2053290917847</v>
      </c>
      <c r="H66" s="4">
        <v>20.153</v>
      </c>
    </row>
    <row r="67" spans="1:8" ht="12.75">
      <c r="A67" s="4">
        <v>50</v>
      </c>
      <c r="B67" s="4">
        <v>129.3</v>
      </c>
      <c r="C67" s="4">
        <v>29.927</v>
      </c>
      <c r="D67" s="43">
        <f t="shared" si="8"/>
        <v>84.07300000000001</v>
      </c>
      <c r="E67" s="43">
        <f t="shared" si="9"/>
        <v>36.867387911544924</v>
      </c>
      <c r="F67" s="43">
        <f t="shared" si="10"/>
        <v>91.49818136337147</v>
      </c>
      <c r="G67" s="43">
        <f t="shared" si="11"/>
        <v>1413.1428414571894</v>
      </c>
      <c r="H67" s="4">
        <v>50.147</v>
      </c>
    </row>
    <row r="68" spans="1:8" ht="12.75">
      <c r="A68" s="4">
        <v>50</v>
      </c>
      <c r="B68" s="4">
        <v>130.9</v>
      </c>
      <c r="C68" s="4">
        <v>28.795</v>
      </c>
      <c r="D68" s="43">
        <f t="shared" si="8"/>
        <v>85.205</v>
      </c>
      <c r="E68" s="43">
        <f t="shared" si="9"/>
        <v>36.8871455402232</v>
      </c>
      <c r="F68" s="43">
        <f t="shared" si="10"/>
        <v>92.77920957943435</v>
      </c>
      <c r="G68" s="43">
        <f t="shared" si="11"/>
        <v>1410.8764301115107</v>
      </c>
      <c r="H68" s="4">
        <v>50.163</v>
      </c>
    </row>
    <row r="69" spans="1:8" ht="12.75">
      <c r="A69" s="4">
        <v>50</v>
      </c>
      <c r="B69" s="4">
        <v>127.2</v>
      </c>
      <c r="C69" s="4">
        <v>31.98</v>
      </c>
      <c r="D69" s="43">
        <f t="shared" si="8"/>
        <v>82.02</v>
      </c>
      <c r="E69" s="43">
        <f t="shared" si="9"/>
        <v>36.83155539239607</v>
      </c>
      <c r="F69" s="43">
        <f t="shared" si="10"/>
        <v>89.17827130331062</v>
      </c>
      <c r="G69" s="43">
        <f t="shared" si="11"/>
        <v>1426.3564222653627</v>
      </c>
      <c r="H69" s="4">
        <v>50.448</v>
      </c>
    </row>
    <row r="70" spans="1:8" ht="12.75">
      <c r="A70" s="4">
        <v>50</v>
      </c>
      <c r="B70" s="4">
        <v>127</v>
      </c>
      <c r="C70" s="4">
        <v>31.43</v>
      </c>
      <c r="D70" s="43">
        <f t="shared" si="8"/>
        <v>82.57</v>
      </c>
      <c r="E70" s="43">
        <f t="shared" si="9"/>
        <v>36.84115494696591</v>
      </c>
      <c r="F70" s="43">
        <f t="shared" si="10"/>
        <v>89.79935104286398</v>
      </c>
      <c r="G70" s="43">
        <f t="shared" si="11"/>
        <v>1414.2641180043609</v>
      </c>
      <c r="H70" s="4">
        <v>50.57</v>
      </c>
    </row>
    <row r="71" spans="1:8" ht="12.75">
      <c r="A71" s="4">
        <v>50</v>
      </c>
      <c r="B71" s="4">
        <v>130.4</v>
      </c>
      <c r="C71" s="4">
        <v>28.798</v>
      </c>
      <c r="D71" s="43">
        <f t="shared" si="8"/>
        <v>85.202</v>
      </c>
      <c r="E71" s="43">
        <f t="shared" si="9"/>
        <v>36.88709317901646</v>
      </c>
      <c r="F71" s="43">
        <f t="shared" si="10"/>
        <v>92.77581288282579</v>
      </c>
      <c r="G71" s="43">
        <f t="shared" si="11"/>
        <v>1405.5387492502264</v>
      </c>
      <c r="H71" s="4">
        <v>50.432</v>
      </c>
    </row>
    <row r="72" spans="1:8" ht="12.75">
      <c r="A72" s="4">
        <v>80</v>
      </c>
      <c r="B72" s="4">
        <v>126.5</v>
      </c>
      <c r="C72" s="4">
        <v>35.005</v>
      </c>
      <c r="D72" s="43">
        <f t="shared" si="8"/>
        <v>78.995</v>
      </c>
      <c r="E72" s="43">
        <f t="shared" si="9"/>
        <v>36.77875784226198</v>
      </c>
      <c r="F72" s="43">
        <f t="shared" si="10"/>
        <v>85.76789658144531</v>
      </c>
      <c r="G72" s="43">
        <f t="shared" si="11"/>
        <v>1474.9108354298444</v>
      </c>
      <c r="H72" s="4">
        <v>80.82</v>
      </c>
    </row>
    <row r="73" spans="1:8" ht="12.75">
      <c r="A73" s="4">
        <v>80</v>
      </c>
      <c r="B73" s="4">
        <v>134.9</v>
      </c>
      <c r="C73" s="4">
        <v>28.926</v>
      </c>
      <c r="D73" s="43">
        <f t="shared" si="8"/>
        <v>85.074</v>
      </c>
      <c r="E73" s="43">
        <f t="shared" si="9"/>
        <v>36.88485910086202</v>
      </c>
      <c r="F73" s="43">
        <f t="shared" si="10"/>
        <v>92.63089580366348</v>
      </c>
      <c r="G73" s="43">
        <f t="shared" si="11"/>
        <v>1456.3175583007242</v>
      </c>
      <c r="H73" s="4">
        <v>80.541</v>
      </c>
    </row>
    <row r="74" spans="1:8" ht="12.75">
      <c r="A74" s="4">
        <v>80</v>
      </c>
      <c r="B74" s="4">
        <v>125.1</v>
      </c>
      <c r="C74" s="4">
        <v>35.714</v>
      </c>
      <c r="D74" s="43">
        <f t="shared" si="8"/>
        <v>78.286</v>
      </c>
      <c r="E74" s="43">
        <f t="shared" si="9"/>
        <v>36.766383143734686</v>
      </c>
      <c r="F74" s="43">
        <f t="shared" si="10"/>
        <v>84.96993353998334</v>
      </c>
      <c r="G74" s="43">
        <f t="shared" si="11"/>
        <v>1472.2854872086384</v>
      </c>
      <c r="H74" s="4">
        <v>80.317</v>
      </c>
    </row>
    <row r="75" spans="1:8" ht="12.75">
      <c r="A75" s="4">
        <v>80</v>
      </c>
      <c r="B75" s="4">
        <v>126.3</v>
      </c>
      <c r="C75" s="4">
        <v>34.435</v>
      </c>
      <c r="D75" s="43">
        <f t="shared" si="8"/>
        <v>79.565</v>
      </c>
      <c r="E75" s="43">
        <f t="shared" si="9"/>
        <v>36.78870647154344</v>
      </c>
      <c r="F75" s="43">
        <f t="shared" si="10"/>
        <v>86.40979303380092</v>
      </c>
      <c r="G75" s="43">
        <f t="shared" si="11"/>
        <v>1461.6398855462508</v>
      </c>
      <c r="H75" s="4">
        <v>80.134</v>
      </c>
    </row>
    <row r="76" spans="1:8" ht="12.75">
      <c r="A76" s="4">
        <v>80</v>
      </c>
      <c r="B76" s="4">
        <v>134.7</v>
      </c>
      <c r="C76" s="4">
        <v>28.976</v>
      </c>
      <c r="D76" s="43">
        <f t="shared" si="8"/>
        <v>85.024</v>
      </c>
      <c r="E76" s="43">
        <f t="shared" si="9"/>
        <v>36.88398641408295</v>
      </c>
      <c r="F76" s="43">
        <f t="shared" si="10"/>
        <v>92.5742921568531</v>
      </c>
      <c r="G76" s="43">
        <f t="shared" si="11"/>
        <v>1455.04758245163</v>
      </c>
      <c r="H76" s="4">
        <v>80.383</v>
      </c>
    </row>
    <row r="77" spans="1:8" ht="12.75">
      <c r="A77" s="4">
        <v>150</v>
      </c>
      <c r="B77" s="4">
        <v>130.9</v>
      </c>
      <c r="C77" s="4">
        <v>35.162</v>
      </c>
      <c r="D77" s="43">
        <f t="shared" si="8"/>
        <v>78.838</v>
      </c>
      <c r="E77" s="43">
        <f t="shared" si="9"/>
        <v>36.77601760577568</v>
      </c>
      <c r="F77" s="43">
        <f t="shared" si="10"/>
        <v>85.59115219015432</v>
      </c>
      <c r="G77" s="43">
        <f t="shared" si="11"/>
        <v>1529.3636859705416</v>
      </c>
      <c r="H77" s="4">
        <v>150.205</v>
      </c>
    </row>
    <row r="78" spans="1:8" ht="12.75">
      <c r="A78" s="4">
        <v>150</v>
      </c>
      <c r="B78" s="4">
        <v>131.3</v>
      </c>
      <c r="C78" s="4">
        <v>34.87</v>
      </c>
      <c r="D78" s="43">
        <f t="shared" si="8"/>
        <v>79.13</v>
      </c>
      <c r="E78" s="43">
        <f t="shared" si="9"/>
        <v>36.78111409656548</v>
      </c>
      <c r="F78" s="43">
        <f t="shared" si="10"/>
        <v>85.91989450298071</v>
      </c>
      <c r="G78" s="43">
        <f t="shared" si="11"/>
        <v>1528.1676119311921</v>
      </c>
      <c r="H78" s="4">
        <v>151.046</v>
      </c>
    </row>
    <row r="79" spans="1:8" ht="12.75">
      <c r="A79" s="4">
        <v>150</v>
      </c>
      <c r="B79" s="4">
        <v>134.9</v>
      </c>
      <c r="C79" s="4">
        <v>32.795</v>
      </c>
      <c r="D79" s="43">
        <f t="shared" si="8"/>
        <v>81.205</v>
      </c>
      <c r="E79" s="43">
        <f t="shared" si="9"/>
        <v>36.81733059789713</v>
      </c>
      <c r="F79" s="43">
        <f t="shared" si="10"/>
        <v>88.25851660179008</v>
      </c>
      <c r="G79" s="43">
        <f t="shared" si="11"/>
        <v>1528.4643929452122</v>
      </c>
      <c r="H79" s="4">
        <v>150.07</v>
      </c>
    </row>
    <row r="80" spans="1:8" ht="12.75">
      <c r="A80" s="4">
        <v>150</v>
      </c>
      <c r="B80" s="4">
        <v>129.4</v>
      </c>
      <c r="C80" s="4">
        <v>36.736</v>
      </c>
      <c r="D80" s="43">
        <f t="shared" si="8"/>
        <v>77.26400000000001</v>
      </c>
      <c r="E80" s="43">
        <f t="shared" si="9"/>
        <v>36.74854542597037</v>
      </c>
      <c r="F80" s="43">
        <f t="shared" si="10"/>
        <v>83.82060515773033</v>
      </c>
      <c r="G80" s="43">
        <f t="shared" si="11"/>
        <v>1543.7731540651628</v>
      </c>
      <c r="H80" s="4">
        <v>151.736</v>
      </c>
    </row>
    <row r="81" spans="1:8" ht="12.75">
      <c r="A81" s="4">
        <v>150</v>
      </c>
      <c r="B81" s="4">
        <v>130.2</v>
      </c>
      <c r="C81" s="4">
        <v>36.202</v>
      </c>
      <c r="D81" s="43">
        <f t="shared" si="8"/>
        <v>77.798</v>
      </c>
      <c r="E81" s="43">
        <f t="shared" si="9"/>
        <v>36.7578657207709</v>
      </c>
      <c r="F81" s="43">
        <f t="shared" si="10"/>
        <v>84.42100100207846</v>
      </c>
      <c r="G81" s="43">
        <f t="shared" si="11"/>
        <v>1542.2702698916642</v>
      </c>
      <c r="H81" s="4">
        <v>151.745</v>
      </c>
    </row>
    <row r="82" spans="1:8" ht="12.75">
      <c r="A82" s="4">
        <v>300</v>
      </c>
      <c r="B82" s="4">
        <v>129.8</v>
      </c>
      <c r="C82" s="4">
        <v>39.764</v>
      </c>
      <c r="D82" s="43">
        <f t="shared" si="8"/>
        <v>74.23599999999999</v>
      </c>
      <c r="E82" s="43">
        <f t="shared" si="9"/>
        <v>36.695695514629534</v>
      </c>
      <c r="F82" s="43">
        <f t="shared" si="10"/>
        <v>80.42165019416676</v>
      </c>
      <c r="G82" s="43">
        <f t="shared" si="11"/>
        <v>1613.9932429465969</v>
      </c>
      <c r="H82" s="4">
        <v>301.621</v>
      </c>
    </row>
    <row r="83" spans="1:8" ht="12.75">
      <c r="A83" s="4">
        <v>300</v>
      </c>
      <c r="B83" s="4">
        <v>131.3</v>
      </c>
      <c r="C83" s="4">
        <v>39.007</v>
      </c>
      <c r="D83" s="43">
        <f t="shared" si="8"/>
        <v>74.993</v>
      </c>
      <c r="E83" s="43">
        <f t="shared" si="9"/>
        <v>36.708907992464745</v>
      </c>
      <c r="F83" s="43">
        <f t="shared" si="10"/>
        <v>81.27050680005102</v>
      </c>
      <c r="G83" s="43">
        <f t="shared" si="11"/>
        <v>1615.5922384369524</v>
      </c>
      <c r="H83" s="4">
        <v>302.298</v>
      </c>
    </row>
    <row r="84" spans="1:8" ht="12.75">
      <c r="A84" s="4">
        <v>300</v>
      </c>
      <c r="B84" s="4">
        <v>133.1</v>
      </c>
      <c r="C84" s="4">
        <v>37.318</v>
      </c>
      <c r="D84" s="43">
        <f t="shared" si="8"/>
        <v>76.682</v>
      </c>
      <c r="E84" s="43">
        <f t="shared" si="9"/>
        <v>36.73838735186193</v>
      </c>
      <c r="F84" s="43">
        <f t="shared" si="10"/>
        <v>83.16657469944073</v>
      </c>
      <c r="G84" s="43">
        <f t="shared" si="11"/>
        <v>1600.402571357734</v>
      </c>
      <c r="H84" s="4">
        <v>301.231</v>
      </c>
    </row>
    <row r="85" spans="1:8" ht="12.75">
      <c r="A85" s="4">
        <v>300</v>
      </c>
      <c r="B85" s="4">
        <v>128.4</v>
      </c>
      <c r="C85" s="4">
        <v>40.598</v>
      </c>
      <c r="D85" s="43">
        <f t="shared" si="8"/>
        <v>73.402</v>
      </c>
      <c r="E85" s="43">
        <f t="shared" si="9"/>
        <v>36.68113909915455</v>
      </c>
      <c r="F85" s="43">
        <f t="shared" si="10"/>
        <v>79.48713063409906</v>
      </c>
      <c r="G85" s="43">
        <f t="shared" si="11"/>
        <v>1615.3558315126536</v>
      </c>
      <c r="H85" s="4">
        <v>300.95</v>
      </c>
    </row>
    <row r="86" spans="1:8" ht="12.75">
      <c r="A86" s="4">
        <v>300</v>
      </c>
      <c r="B86" s="4">
        <v>132.2</v>
      </c>
      <c r="C86" s="4">
        <v>38.479</v>
      </c>
      <c r="D86" s="43">
        <f t="shared" si="8"/>
        <v>75.521</v>
      </c>
      <c r="E86" s="43">
        <f t="shared" si="9"/>
        <v>36.71812356485179</v>
      </c>
      <c r="F86" s="43">
        <f t="shared" si="10"/>
        <v>81.86292392245944</v>
      </c>
      <c r="G86" s="43">
        <f t="shared" si="11"/>
        <v>1614.894675949027</v>
      </c>
      <c r="H86" s="4">
        <v>301.821</v>
      </c>
    </row>
    <row r="89" ht="15.75">
      <c r="A89" s="1" t="s">
        <v>69</v>
      </c>
    </row>
    <row r="90" spans="3:8" ht="12.75">
      <c r="C90" s="36"/>
      <c r="D90" s="44"/>
      <c r="E90" s="44"/>
      <c r="F90" s="44"/>
      <c r="G90" s="44"/>
      <c r="H90" s="36"/>
    </row>
    <row r="91" spans="1:8" ht="12.75">
      <c r="A91" s="4">
        <v>50</v>
      </c>
      <c r="B91" s="4">
        <v>126</v>
      </c>
      <c r="C91" s="4">
        <v>30.275</v>
      </c>
      <c r="D91" s="43">
        <f aca="true" t="shared" si="12" ref="D91:D110">114-C91</f>
        <v>83.725</v>
      </c>
      <c r="E91" s="43">
        <f aca="true" t="shared" si="13" ref="E91:E110">2*(TAN(RADIANS(0.5))*D91+17.7)</f>
        <v>36.861314011562555</v>
      </c>
      <c r="F91" s="43">
        <f aca="true" t="shared" si="14" ref="F91:F110">(((3.14*D91)/12)*(37.6^2+37.6*E91+E91^2))*10^-3</f>
        <v>91.10463240304509</v>
      </c>
      <c r="G91" s="43">
        <f aca="true" t="shared" si="15" ref="G91:G110">(1000*B91)/F91</f>
        <v>1383.0251731062203</v>
      </c>
      <c r="H91" s="4">
        <v>50.715</v>
      </c>
    </row>
    <row r="92" spans="1:8" ht="12.75">
      <c r="A92" s="4">
        <v>50</v>
      </c>
      <c r="B92" s="4">
        <v>108.2</v>
      </c>
      <c r="C92" s="4">
        <v>43.647</v>
      </c>
      <c r="D92" s="43">
        <f t="shared" si="12"/>
        <v>70.35300000000001</v>
      </c>
      <c r="E92" s="43">
        <f t="shared" si="13"/>
        <v>36.627922659366504</v>
      </c>
      <c r="F92" s="43">
        <f t="shared" si="14"/>
        <v>76.07671064172632</v>
      </c>
      <c r="G92" s="43">
        <f t="shared" si="15"/>
        <v>1422.2486630574008</v>
      </c>
      <c r="H92" s="4">
        <v>50.523</v>
      </c>
    </row>
    <row r="93" spans="1:8" ht="12.75">
      <c r="A93" s="4">
        <v>50</v>
      </c>
      <c r="B93" s="4">
        <v>127.9</v>
      </c>
      <c r="C93" s="4">
        <v>29.775</v>
      </c>
      <c r="D93" s="43">
        <f t="shared" si="12"/>
        <v>84.225</v>
      </c>
      <c r="E93" s="43">
        <f t="shared" si="13"/>
        <v>36.87004087935332</v>
      </c>
      <c r="F93" s="43">
        <f t="shared" si="14"/>
        <v>91.67011546362254</v>
      </c>
      <c r="G93" s="43">
        <f t="shared" si="15"/>
        <v>1395.220234567661</v>
      </c>
      <c r="H93" s="4">
        <v>49.767</v>
      </c>
    </row>
    <row r="94" spans="1:8" ht="12.75">
      <c r="A94" s="4">
        <v>50</v>
      </c>
      <c r="B94" s="4">
        <v>131.3</v>
      </c>
      <c r="C94" s="4">
        <v>27.834</v>
      </c>
      <c r="D94" s="43">
        <f t="shared" si="12"/>
        <v>86.166</v>
      </c>
      <c r="E94" s="43">
        <f t="shared" si="13"/>
        <v>36.90391858011704</v>
      </c>
      <c r="F94" s="43">
        <f t="shared" si="14"/>
        <v>93.86776230747503</v>
      </c>
      <c r="G94" s="43">
        <f t="shared" si="15"/>
        <v>1398.776286686277</v>
      </c>
      <c r="H94" s="4">
        <v>50.122</v>
      </c>
    </row>
    <row r="95" spans="1:8" ht="12.75">
      <c r="A95" s="4">
        <v>50</v>
      </c>
      <c r="B95" s="4">
        <v>132.2</v>
      </c>
      <c r="C95" s="4">
        <v>26.711</v>
      </c>
      <c r="D95" s="43">
        <f t="shared" si="12"/>
        <v>87.289</v>
      </c>
      <c r="E95" s="43">
        <f t="shared" si="13"/>
        <v>36.92351912517508</v>
      </c>
      <c r="F95" s="43">
        <f t="shared" si="14"/>
        <v>95.14102404091153</v>
      </c>
      <c r="G95" s="43">
        <f t="shared" si="15"/>
        <v>1389.5162610731702</v>
      </c>
      <c r="H95" s="4">
        <v>50.145</v>
      </c>
    </row>
    <row r="96" spans="1:8" ht="12.75">
      <c r="A96" s="4">
        <v>80</v>
      </c>
      <c r="B96" s="4">
        <v>119.3</v>
      </c>
      <c r="C96" s="4">
        <v>37.339</v>
      </c>
      <c r="D96" s="43">
        <f t="shared" si="12"/>
        <v>76.661</v>
      </c>
      <c r="E96" s="43">
        <f t="shared" si="13"/>
        <v>36.738020823414715</v>
      </c>
      <c r="F96" s="43">
        <f t="shared" si="14"/>
        <v>83.14298216412352</v>
      </c>
      <c r="G96" s="43">
        <f t="shared" si="15"/>
        <v>1434.877567471694</v>
      </c>
      <c r="H96" s="4">
        <v>80.473</v>
      </c>
    </row>
    <row r="97" spans="1:8" ht="12.75">
      <c r="A97" s="4">
        <v>80</v>
      </c>
      <c r="B97" s="4">
        <v>128.5</v>
      </c>
      <c r="C97" s="4">
        <v>32.12</v>
      </c>
      <c r="D97" s="43">
        <f t="shared" si="12"/>
        <v>81.88</v>
      </c>
      <c r="E97" s="43">
        <f t="shared" si="13"/>
        <v>36.82911186941466</v>
      </c>
      <c r="F97" s="43">
        <f t="shared" si="14"/>
        <v>89.02022800026995</v>
      </c>
      <c r="G97" s="43">
        <f t="shared" si="15"/>
        <v>1443.4921465221403</v>
      </c>
      <c r="H97" s="4">
        <v>81.175</v>
      </c>
    </row>
    <row r="98" spans="1:8" ht="12.75">
      <c r="A98" s="4">
        <v>80</v>
      </c>
      <c r="B98" s="4">
        <v>125.3</v>
      </c>
      <c r="C98" s="4">
        <v>34.447</v>
      </c>
      <c r="D98" s="43">
        <f t="shared" si="12"/>
        <v>79.553</v>
      </c>
      <c r="E98" s="43">
        <f t="shared" si="13"/>
        <v>36.78849702671646</v>
      </c>
      <c r="F98" s="43">
        <f t="shared" si="14"/>
        <v>86.39627598219937</v>
      </c>
      <c r="G98" s="43">
        <f t="shared" si="15"/>
        <v>1450.2939921370703</v>
      </c>
      <c r="H98" s="4">
        <v>80.359</v>
      </c>
    </row>
    <row r="99" spans="1:8" ht="12.75">
      <c r="A99" s="4">
        <v>80</v>
      </c>
      <c r="B99" s="4">
        <v>132.9</v>
      </c>
      <c r="C99" s="4">
        <v>29.312</v>
      </c>
      <c r="D99" s="43">
        <f t="shared" si="12"/>
        <v>84.688</v>
      </c>
      <c r="E99" s="43">
        <f t="shared" si="13"/>
        <v>36.87812195892756</v>
      </c>
      <c r="F99" s="43">
        <f t="shared" si="14"/>
        <v>92.19398249287742</v>
      </c>
      <c r="G99" s="43">
        <f t="shared" si="15"/>
        <v>1441.5257526191297</v>
      </c>
      <c r="H99" s="4">
        <v>80.88</v>
      </c>
    </row>
    <row r="100" spans="1:8" ht="12.75">
      <c r="A100" s="4">
        <v>80</v>
      </c>
      <c r="B100" s="4">
        <v>132.4</v>
      </c>
      <c r="C100" s="4">
        <v>29.712</v>
      </c>
      <c r="D100" s="43">
        <f t="shared" si="12"/>
        <v>84.288</v>
      </c>
      <c r="E100" s="43">
        <f t="shared" si="13"/>
        <v>36.87114046469495</v>
      </c>
      <c r="F100" s="43">
        <f t="shared" si="14"/>
        <v>91.74138460202771</v>
      </c>
      <c r="G100" s="43">
        <f t="shared" si="15"/>
        <v>1443.1872875512895</v>
      </c>
      <c r="H100" s="4">
        <v>80.669</v>
      </c>
    </row>
    <row r="101" spans="1:8" ht="12.75">
      <c r="A101" s="4">
        <v>150</v>
      </c>
      <c r="B101" s="4">
        <v>123.5</v>
      </c>
      <c r="C101" s="4">
        <v>39.215</v>
      </c>
      <c r="D101" s="43">
        <f t="shared" si="12"/>
        <v>74.785</v>
      </c>
      <c r="E101" s="43">
        <f t="shared" si="13"/>
        <v>36.70527761546379</v>
      </c>
      <c r="F101" s="43">
        <f t="shared" si="14"/>
        <v>81.03720889639514</v>
      </c>
      <c r="G101" s="43">
        <f t="shared" si="15"/>
        <v>1523.9912835336283</v>
      </c>
      <c r="H101" s="4">
        <v>150.278</v>
      </c>
    </row>
    <row r="102" spans="1:8" ht="12.75">
      <c r="A102" s="4">
        <v>150</v>
      </c>
      <c r="B102" s="4">
        <v>115.9</v>
      </c>
      <c r="C102" s="4">
        <v>42.137</v>
      </c>
      <c r="D102" s="43">
        <f t="shared" si="12"/>
        <v>71.863</v>
      </c>
      <c r="E102" s="43">
        <f t="shared" si="13"/>
        <v>36.6542778000946</v>
      </c>
      <c r="F102" s="43">
        <f t="shared" si="14"/>
        <v>77.76451141974437</v>
      </c>
      <c r="G102" s="43">
        <f t="shared" si="15"/>
        <v>1490.3970703861846</v>
      </c>
      <c r="H102" s="4">
        <v>151.642</v>
      </c>
    </row>
    <row r="103" spans="1:8" ht="12.75">
      <c r="A103" s="4">
        <v>150</v>
      </c>
      <c r="B103" s="4">
        <v>129.1</v>
      </c>
      <c r="C103" s="4">
        <v>35.401</v>
      </c>
      <c r="D103" s="43">
        <f t="shared" si="12"/>
        <v>78.59899999999999</v>
      </c>
      <c r="E103" s="43">
        <f t="shared" si="13"/>
        <v>36.7718461629717</v>
      </c>
      <c r="F103" s="43">
        <f t="shared" si="14"/>
        <v>85.32214408068722</v>
      </c>
      <c r="G103" s="43">
        <f t="shared" si="15"/>
        <v>1513.0890273680072</v>
      </c>
      <c r="H103" s="4">
        <v>151.807</v>
      </c>
    </row>
    <row r="104" spans="1:8" ht="12.75">
      <c r="A104" s="4">
        <v>150</v>
      </c>
      <c r="B104" s="4">
        <v>133.4</v>
      </c>
      <c r="C104" s="4">
        <v>33.147</v>
      </c>
      <c r="D104" s="43">
        <f t="shared" si="12"/>
        <v>80.85300000000001</v>
      </c>
      <c r="E104" s="43">
        <f t="shared" si="13"/>
        <v>36.81118688297244</v>
      </c>
      <c r="F104" s="43">
        <f t="shared" si="14"/>
        <v>87.86148421220673</v>
      </c>
      <c r="G104" s="43">
        <f t="shared" si="15"/>
        <v>1518.2989588225796</v>
      </c>
      <c r="H104" s="4">
        <v>151.702</v>
      </c>
    </row>
    <row r="105" spans="1:8" ht="12.75">
      <c r="A105" s="4">
        <v>150</v>
      </c>
      <c r="B105" s="4">
        <v>132.8</v>
      </c>
      <c r="C105" s="4">
        <v>33.346</v>
      </c>
      <c r="D105" s="43">
        <f t="shared" si="12"/>
        <v>80.654</v>
      </c>
      <c r="E105" s="43">
        <f t="shared" si="13"/>
        <v>36.807713589591714</v>
      </c>
      <c r="F105" s="43">
        <f t="shared" si="14"/>
        <v>87.63708196539777</v>
      </c>
      <c r="G105" s="43">
        <f t="shared" si="15"/>
        <v>1515.3402763048882</v>
      </c>
      <c r="H105" s="4">
        <v>151.717</v>
      </c>
    </row>
    <row r="106" spans="1:8" ht="12.75">
      <c r="A106" s="4">
        <v>300</v>
      </c>
      <c r="B106" s="4">
        <v>120.1</v>
      </c>
      <c r="C106" s="4">
        <v>41.674</v>
      </c>
      <c r="D106" s="43">
        <f t="shared" si="12"/>
        <v>72.326</v>
      </c>
      <c r="E106" s="43">
        <f t="shared" si="13"/>
        <v>36.66235887966884</v>
      </c>
      <c r="F106" s="43">
        <f t="shared" si="14"/>
        <v>78.28249700946242</v>
      </c>
      <c r="G106" s="43">
        <f t="shared" si="15"/>
        <v>1534.187137457852</v>
      </c>
      <c r="H106" s="4">
        <v>301.115</v>
      </c>
    </row>
    <row r="107" spans="1:8" ht="12.75">
      <c r="A107" s="4">
        <v>300</v>
      </c>
      <c r="B107" s="4">
        <v>122.1</v>
      </c>
      <c r="C107" s="4">
        <v>42.781</v>
      </c>
      <c r="D107" s="43">
        <f t="shared" si="12"/>
        <v>71.219</v>
      </c>
      <c r="E107" s="43">
        <f t="shared" si="13"/>
        <v>36.6430375943801</v>
      </c>
      <c r="F107" s="43">
        <f t="shared" si="14"/>
        <v>77.04439556353749</v>
      </c>
      <c r="G107" s="43">
        <f t="shared" si="15"/>
        <v>1584.8005439838353</v>
      </c>
      <c r="H107" s="4">
        <v>302.072</v>
      </c>
    </row>
    <row r="108" spans="1:8" ht="12.75">
      <c r="A108" s="4">
        <v>300</v>
      </c>
      <c r="B108" s="4">
        <v>129.1</v>
      </c>
      <c r="C108" s="4">
        <v>38.892</v>
      </c>
      <c r="D108" s="43">
        <f t="shared" si="12"/>
        <v>75.108</v>
      </c>
      <c r="E108" s="43">
        <f t="shared" si="13"/>
        <v>36.71091517205662</v>
      </c>
      <c r="F108" s="43">
        <f t="shared" si="14"/>
        <v>81.39951267700415</v>
      </c>
      <c r="G108" s="43">
        <f t="shared" si="15"/>
        <v>1586.004581038131</v>
      </c>
      <c r="H108" s="4">
        <v>302.746</v>
      </c>
    </row>
    <row r="109" spans="1:8" ht="12.75">
      <c r="A109" s="4">
        <v>300</v>
      </c>
      <c r="B109" s="4">
        <v>127.3</v>
      </c>
      <c r="C109" s="4">
        <v>40.128</v>
      </c>
      <c r="D109" s="43">
        <f t="shared" si="12"/>
        <v>73.872</v>
      </c>
      <c r="E109" s="43">
        <f t="shared" si="13"/>
        <v>36.689342354877866</v>
      </c>
      <c r="F109" s="43">
        <f t="shared" si="14"/>
        <v>80.01369063056399</v>
      </c>
      <c r="G109" s="43">
        <f t="shared" si="15"/>
        <v>1590.9777313955492</v>
      </c>
      <c r="H109" s="4">
        <v>301.596</v>
      </c>
    </row>
    <row r="110" spans="1:8" ht="12.75">
      <c r="A110" s="4">
        <v>300</v>
      </c>
      <c r="B110" s="4">
        <v>135.1</v>
      </c>
      <c r="C110" s="4">
        <v>35.62</v>
      </c>
      <c r="D110" s="43">
        <f t="shared" si="12"/>
        <v>78.38</v>
      </c>
      <c r="E110" s="43">
        <f t="shared" si="13"/>
        <v>36.76802379487935</v>
      </c>
      <c r="F110" s="43">
        <f t="shared" si="14"/>
        <v>85.07569865196558</v>
      </c>
      <c r="G110" s="43">
        <f t="shared" si="15"/>
        <v>1587.9975379653101</v>
      </c>
      <c r="H110" s="4">
        <v>301.513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44">
      <selection activeCell="K76" sqref="K76"/>
    </sheetView>
  </sheetViews>
  <sheetFormatPr defaultColWidth="11.421875" defaultRowHeight="12.75"/>
  <cols>
    <col min="1" max="1" width="6.8515625" style="0" customWidth="1"/>
    <col min="3" max="3" width="4.7109375" style="0" customWidth="1"/>
    <col min="4" max="4" width="16.421875" style="0" customWidth="1"/>
    <col min="5" max="5" width="13.00390625" style="0" customWidth="1"/>
    <col min="6" max="7" width="9.00390625" style="0" customWidth="1"/>
    <col min="8" max="8" width="7.421875" style="0" customWidth="1"/>
    <col min="9" max="9" width="13.00390625" style="0" customWidth="1"/>
    <col min="10" max="10" width="16.140625" style="0" customWidth="1"/>
    <col min="11" max="11" width="12.421875" style="0" customWidth="1"/>
  </cols>
  <sheetData>
    <row r="1" ht="15.75">
      <c r="A1" s="1" t="s">
        <v>32</v>
      </c>
    </row>
    <row r="3" spans="1:11" ht="12.75">
      <c r="A3" s="3" t="s">
        <v>33</v>
      </c>
      <c r="B3" s="3" t="s">
        <v>34</v>
      </c>
      <c r="C3" s="3" t="s">
        <v>9</v>
      </c>
      <c r="D3" s="3" t="s">
        <v>35</v>
      </c>
      <c r="E3" s="3" t="s">
        <v>36</v>
      </c>
      <c r="F3" s="3" t="s">
        <v>37</v>
      </c>
      <c r="G3" s="3" t="s">
        <v>38</v>
      </c>
      <c r="H3" s="3" t="s">
        <v>39</v>
      </c>
      <c r="I3" s="3" t="s">
        <v>40</v>
      </c>
      <c r="J3" s="3" t="s">
        <v>41</v>
      </c>
      <c r="K3" s="3" t="s">
        <v>42</v>
      </c>
    </row>
    <row r="4" spans="1:11" ht="12.75">
      <c r="A4" s="4">
        <v>1</v>
      </c>
      <c r="B4" s="5">
        <v>20</v>
      </c>
      <c r="C4" s="4">
        <v>1</v>
      </c>
      <c r="D4" s="4">
        <v>3.297</v>
      </c>
      <c r="E4" s="4">
        <v>2.5</v>
      </c>
      <c r="F4" s="4">
        <v>115.3</v>
      </c>
      <c r="G4" s="4">
        <v>54</v>
      </c>
      <c r="H4" s="4">
        <v>545</v>
      </c>
      <c r="I4" s="4">
        <v>3.705</v>
      </c>
      <c r="J4" s="4">
        <v>3.247</v>
      </c>
      <c r="K4" s="4">
        <v>98.4</v>
      </c>
    </row>
    <row r="5" spans="1:11" ht="12.75">
      <c r="A5" s="4">
        <v>7</v>
      </c>
      <c r="B5" s="5">
        <v>20</v>
      </c>
      <c r="C5" s="4">
        <v>2</v>
      </c>
      <c r="D5" s="4">
        <v>3.297</v>
      </c>
      <c r="E5" s="4">
        <v>2.5</v>
      </c>
      <c r="F5" s="4">
        <v>100.3</v>
      </c>
      <c r="G5" s="4">
        <v>56</v>
      </c>
      <c r="H5" s="4">
        <v>900</v>
      </c>
      <c r="I5" s="4">
        <v>3.2</v>
      </c>
      <c r="J5" s="4">
        <v>2.745</v>
      </c>
      <c r="K5" s="4">
        <v>83.3</v>
      </c>
    </row>
    <row r="6" spans="1:11" ht="12.75">
      <c r="A6" s="4">
        <v>12</v>
      </c>
      <c r="B6" s="5">
        <v>20</v>
      </c>
      <c r="C6" s="4">
        <v>3</v>
      </c>
      <c r="D6" s="4">
        <v>3.297</v>
      </c>
      <c r="E6" s="4">
        <v>2.5</v>
      </c>
      <c r="F6" s="4">
        <v>108.6</v>
      </c>
      <c r="G6" s="4">
        <v>58.5</v>
      </c>
      <c r="H6" s="4">
        <v>672</v>
      </c>
      <c r="I6" s="4">
        <v>3.836</v>
      </c>
      <c r="J6" s="4">
        <v>3.083</v>
      </c>
      <c r="K6" s="4">
        <v>93.5</v>
      </c>
    </row>
    <row r="7" spans="1:11" ht="12.75">
      <c r="A7" s="4">
        <v>3</v>
      </c>
      <c r="B7" s="5">
        <v>50</v>
      </c>
      <c r="C7" s="4">
        <v>1</v>
      </c>
      <c r="D7" s="4">
        <v>5.827</v>
      </c>
      <c r="E7" s="4">
        <v>4.4</v>
      </c>
      <c r="F7" s="4">
        <v>114.8</v>
      </c>
      <c r="G7" s="4">
        <v>55</v>
      </c>
      <c r="H7" s="4">
        <v>668</v>
      </c>
      <c r="I7" s="4">
        <v>5.872</v>
      </c>
      <c r="J7" s="4">
        <v>4.836</v>
      </c>
      <c r="K7" s="4">
        <v>83</v>
      </c>
    </row>
    <row r="8" spans="1:11" ht="12.75">
      <c r="A8" s="4">
        <v>10</v>
      </c>
      <c r="B8" s="5">
        <v>50</v>
      </c>
      <c r="C8" s="4">
        <v>2</v>
      </c>
      <c r="D8" s="4">
        <v>5.827</v>
      </c>
      <c r="E8" s="4">
        <v>4.4</v>
      </c>
      <c r="F8" s="4">
        <v>103.8</v>
      </c>
      <c r="G8" s="4">
        <v>58.5</v>
      </c>
      <c r="H8" s="4">
        <v>865</v>
      </c>
      <c r="I8" s="4">
        <v>6.168</v>
      </c>
      <c r="J8" s="4">
        <v>4.906</v>
      </c>
      <c r="K8" s="4">
        <v>84.2</v>
      </c>
    </row>
    <row r="9" spans="1:11" ht="12.75">
      <c r="A9" s="4">
        <v>11</v>
      </c>
      <c r="B9" s="5">
        <v>50</v>
      </c>
      <c r="C9" s="4">
        <v>3</v>
      </c>
      <c r="D9" s="4">
        <v>5.827</v>
      </c>
      <c r="E9" s="4">
        <v>4.4</v>
      </c>
      <c r="F9" s="4">
        <v>98.4</v>
      </c>
      <c r="G9" s="4">
        <v>58.5</v>
      </c>
      <c r="H9" s="4">
        <v>1040</v>
      </c>
      <c r="I9" s="4">
        <v>6.313</v>
      </c>
      <c r="J9" s="4">
        <v>5.266</v>
      </c>
      <c r="K9" s="4">
        <v>90.4</v>
      </c>
    </row>
    <row r="10" spans="1:11" ht="12.75">
      <c r="A10" s="4">
        <v>2</v>
      </c>
      <c r="B10" s="5">
        <v>80</v>
      </c>
      <c r="C10" s="4">
        <v>1</v>
      </c>
      <c r="D10" s="4">
        <v>7.387</v>
      </c>
      <c r="E10" s="4">
        <v>5.5</v>
      </c>
      <c r="F10" s="4">
        <v>115.2</v>
      </c>
      <c r="G10" s="4">
        <v>54</v>
      </c>
      <c r="H10" s="4">
        <v>750</v>
      </c>
      <c r="I10" s="4">
        <v>7.468</v>
      </c>
      <c r="J10" s="4">
        <v>5.873</v>
      </c>
      <c r="K10" s="4">
        <v>79.5</v>
      </c>
    </row>
    <row r="11" spans="1:11" ht="12.75">
      <c r="A11" s="4">
        <v>9</v>
      </c>
      <c r="B11" s="5">
        <v>80</v>
      </c>
      <c r="C11" s="4">
        <v>2</v>
      </c>
      <c r="D11" s="4">
        <v>7.387</v>
      </c>
      <c r="E11" s="4">
        <v>5.5</v>
      </c>
      <c r="F11" s="4">
        <v>103.9</v>
      </c>
      <c r="G11" s="4">
        <v>56</v>
      </c>
      <c r="H11" s="4">
        <v>998</v>
      </c>
      <c r="I11" s="4">
        <v>7.898</v>
      </c>
      <c r="J11" s="4">
        <v>5.783</v>
      </c>
      <c r="K11" s="4">
        <v>78.3</v>
      </c>
    </row>
    <row r="12" spans="1:11" ht="12.75">
      <c r="A12" s="4">
        <v>14</v>
      </c>
      <c r="B12" s="5">
        <v>80</v>
      </c>
      <c r="C12" s="4">
        <v>3</v>
      </c>
      <c r="D12" s="4">
        <v>7.387</v>
      </c>
      <c r="E12" s="4">
        <v>5.5</v>
      </c>
      <c r="F12" s="4">
        <v>110.9</v>
      </c>
      <c r="G12" s="4">
        <v>59</v>
      </c>
      <c r="H12" s="4">
        <v>900</v>
      </c>
      <c r="I12" s="4">
        <v>7.709</v>
      </c>
      <c r="J12" s="4">
        <v>6.309</v>
      </c>
      <c r="K12" s="4">
        <v>85.4</v>
      </c>
    </row>
    <row r="13" spans="1:11" ht="12.75">
      <c r="A13" s="4">
        <v>5</v>
      </c>
      <c r="B13" s="5">
        <v>150</v>
      </c>
      <c r="C13" s="4">
        <v>1</v>
      </c>
      <c r="D13" s="4">
        <v>10.284</v>
      </c>
      <c r="E13" s="4">
        <v>7.7</v>
      </c>
      <c r="F13" s="4">
        <v>101.1</v>
      </c>
      <c r="G13" s="4">
        <v>55.5</v>
      </c>
      <c r="H13" s="4">
        <v>1070</v>
      </c>
      <c r="I13" s="4">
        <v>10.07</v>
      </c>
      <c r="J13" s="4">
        <v>8.522</v>
      </c>
      <c r="K13" s="4">
        <v>82.8</v>
      </c>
    </row>
    <row r="14" spans="1:11" ht="12.75">
      <c r="A14" s="4">
        <v>6</v>
      </c>
      <c r="B14" s="5">
        <v>150</v>
      </c>
      <c r="C14" s="4">
        <v>2</v>
      </c>
      <c r="D14" s="4">
        <v>10.284</v>
      </c>
      <c r="E14" s="4">
        <v>7.7</v>
      </c>
      <c r="F14" s="4">
        <v>115.7</v>
      </c>
      <c r="G14" s="4">
        <v>55.5</v>
      </c>
      <c r="H14" s="4">
        <v>860</v>
      </c>
      <c r="I14" s="4">
        <v>9.513</v>
      </c>
      <c r="J14" s="4">
        <v>8.111</v>
      </c>
      <c r="K14" s="4">
        <v>78.8</v>
      </c>
    </row>
    <row r="15" spans="1:11" ht="12.75">
      <c r="A15" s="4">
        <v>13</v>
      </c>
      <c r="B15" s="5">
        <v>150</v>
      </c>
      <c r="C15" s="4">
        <v>3</v>
      </c>
      <c r="D15" s="4">
        <v>10.284</v>
      </c>
      <c r="E15" s="4">
        <v>7.7</v>
      </c>
      <c r="F15" s="4">
        <v>106.8</v>
      </c>
      <c r="G15" s="4">
        <v>58.5</v>
      </c>
      <c r="H15" s="4">
        <v>1021</v>
      </c>
      <c r="I15" s="4">
        <v>10.339</v>
      </c>
      <c r="J15" s="4">
        <v>8.642</v>
      </c>
      <c r="K15" s="4">
        <v>84</v>
      </c>
    </row>
    <row r="16" spans="1:11" ht="12.75">
      <c r="A16" s="4">
        <v>4</v>
      </c>
      <c r="B16" s="5">
        <v>300</v>
      </c>
      <c r="C16" s="4">
        <v>1</v>
      </c>
      <c r="D16" s="4">
        <v>14.539</v>
      </c>
      <c r="E16" s="4">
        <v>10.9</v>
      </c>
      <c r="F16" s="4">
        <v>115.2</v>
      </c>
      <c r="G16" s="4">
        <v>55</v>
      </c>
      <c r="H16" s="4">
        <v>937</v>
      </c>
      <c r="I16" s="4">
        <v>13.885</v>
      </c>
      <c r="J16" s="4">
        <v>12.124</v>
      </c>
      <c r="K16" s="4">
        <v>83.4</v>
      </c>
    </row>
    <row r="17" spans="1:11" ht="12.75">
      <c r="A17" s="4">
        <v>8</v>
      </c>
      <c r="B17" s="5">
        <v>300</v>
      </c>
      <c r="C17" s="4">
        <v>2</v>
      </c>
      <c r="D17" s="4">
        <v>14.539</v>
      </c>
      <c r="E17" s="4">
        <v>10.9</v>
      </c>
      <c r="F17" s="4">
        <v>102.2</v>
      </c>
      <c r="G17" s="4">
        <v>56</v>
      </c>
      <c r="H17" s="4">
        <v>1195</v>
      </c>
      <c r="I17" s="4">
        <v>10.477</v>
      </c>
      <c r="J17" s="4">
        <v>10.643</v>
      </c>
      <c r="K17" s="4">
        <v>73.2</v>
      </c>
    </row>
    <row r="18" spans="1:11" ht="12.75">
      <c r="A18" s="4">
        <v>15</v>
      </c>
      <c r="B18" s="5">
        <v>300</v>
      </c>
      <c r="C18" s="4">
        <v>3</v>
      </c>
      <c r="D18" s="4">
        <v>14.539</v>
      </c>
      <c r="E18" s="4">
        <v>10.9</v>
      </c>
      <c r="F18" s="4">
        <v>107.1</v>
      </c>
      <c r="G18" s="4">
        <v>59</v>
      </c>
      <c r="H18" s="4">
        <v>1140</v>
      </c>
      <c r="I18" s="4">
        <v>13.788</v>
      </c>
      <c r="J18" s="4">
        <v>11.316</v>
      </c>
      <c r="K18" s="4">
        <v>77.8</v>
      </c>
    </row>
    <row r="21" spans="1:11" ht="12.75">
      <c r="A21" s="3" t="s">
        <v>33</v>
      </c>
      <c r="B21" s="3" t="s">
        <v>34</v>
      </c>
      <c r="C21" s="3" t="s">
        <v>9</v>
      </c>
      <c r="D21" s="3" t="s">
        <v>35</v>
      </c>
      <c r="E21" s="3" t="s">
        <v>43</v>
      </c>
      <c r="F21" s="3" t="s">
        <v>37</v>
      </c>
      <c r="G21" s="3" t="s">
        <v>38</v>
      </c>
      <c r="H21" s="3" t="s">
        <v>39</v>
      </c>
      <c r="I21" s="3" t="s">
        <v>40</v>
      </c>
      <c r="J21" s="3" t="s">
        <v>41</v>
      </c>
      <c r="K21" s="3" t="s">
        <v>42</v>
      </c>
    </row>
    <row r="22" spans="1:11" ht="12.75">
      <c r="A22" s="4">
        <v>1</v>
      </c>
      <c r="B22" s="5">
        <v>20</v>
      </c>
      <c r="C22" s="4">
        <v>1</v>
      </c>
      <c r="D22" s="4">
        <v>3.297</v>
      </c>
      <c r="E22" s="41">
        <v>1.6</v>
      </c>
      <c r="F22" s="41">
        <v>105.1</v>
      </c>
      <c r="G22" s="41">
        <v>59</v>
      </c>
      <c r="H22" s="41">
        <v>795</v>
      </c>
      <c r="I22" s="41">
        <v>3.832</v>
      </c>
      <c r="J22" s="41">
        <v>2.019</v>
      </c>
      <c r="K22" s="41">
        <v>61.2</v>
      </c>
    </row>
    <row r="23" spans="1:11" ht="12.75">
      <c r="A23" s="4">
        <v>7</v>
      </c>
      <c r="B23" s="5">
        <v>20</v>
      </c>
      <c r="C23" s="4">
        <v>2</v>
      </c>
      <c r="D23" s="4">
        <v>3.297</v>
      </c>
      <c r="E23" s="41">
        <v>1.6</v>
      </c>
      <c r="F23" s="41">
        <v>101.2</v>
      </c>
      <c r="G23" s="41">
        <v>57</v>
      </c>
      <c r="H23" s="41">
        <v>855</v>
      </c>
      <c r="I23" s="41">
        <v>3.899</v>
      </c>
      <c r="J23" s="41">
        <v>2.119</v>
      </c>
      <c r="K23" s="41">
        <v>64.3</v>
      </c>
    </row>
    <row r="24" spans="1:11" ht="12.75">
      <c r="A24" s="4">
        <v>9</v>
      </c>
      <c r="B24" s="5">
        <v>20</v>
      </c>
      <c r="C24" s="4">
        <v>3</v>
      </c>
      <c r="D24" s="4">
        <v>3.297</v>
      </c>
      <c r="E24" s="41">
        <v>1.6</v>
      </c>
      <c r="F24" s="41">
        <v>101.1</v>
      </c>
      <c r="G24" s="41">
        <v>57</v>
      </c>
      <c r="H24" s="41">
        <v>890</v>
      </c>
      <c r="I24" s="41">
        <v>3.92</v>
      </c>
      <c r="J24" s="41">
        <v>2.392</v>
      </c>
      <c r="K24" s="41">
        <v>72.6</v>
      </c>
    </row>
    <row r="25" spans="1:11" ht="12.75">
      <c r="A25" s="4">
        <v>6</v>
      </c>
      <c r="B25" s="5">
        <v>50</v>
      </c>
      <c r="C25" s="4">
        <v>1</v>
      </c>
      <c r="D25" s="4">
        <v>5.827</v>
      </c>
      <c r="E25" s="41">
        <v>2.9</v>
      </c>
      <c r="F25" s="41">
        <v>106.7</v>
      </c>
      <c r="G25" s="41">
        <v>56.5</v>
      </c>
      <c r="H25" s="41">
        <v>825</v>
      </c>
      <c r="I25" s="41">
        <v>6.242</v>
      </c>
      <c r="J25" s="41">
        <v>3.124</v>
      </c>
      <c r="K25" s="41">
        <v>53.6</v>
      </c>
    </row>
    <row r="26" spans="1:11" ht="12.75">
      <c r="A26" s="4">
        <v>8</v>
      </c>
      <c r="B26" s="5">
        <v>50</v>
      </c>
      <c r="C26" s="4">
        <v>2</v>
      </c>
      <c r="D26" s="4">
        <v>5.827</v>
      </c>
      <c r="E26" s="41">
        <v>2.9</v>
      </c>
      <c r="F26" s="41">
        <v>98.2</v>
      </c>
      <c r="G26" s="41">
        <v>56.5</v>
      </c>
      <c r="H26" s="41">
        <v>1120</v>
      </c>
      <c r="I26" s="41">
        <v>6.398</v>
      </c>
      <c r="J26" s="41">
        <v>3.289</v>
      </c>
      <c r="K26" s="41">
        <v>56.4</v>
      </c>
    </row>
    <row r="27" spans="1:11" ht="12.75">
      <c r="A27" s="4">
        <v>15</v>
      </c>
      <c r="B27" s="5">
        <v>50</v>
      </c>
      <c r="C27" s="4">
        <v>3</v>
      </c>
      <c r="D27" s="4">
        <v>5.827</v>
      </c>
      <c r="E27" s="41">
        <v>2.9</v>
      </c>
      <c r="F27" s="41">
        <v>105.1</v>
      </c>
      <c r="G27" s="41">
        <v>59</v>
      </c>
      <c r="H27" s="41">
        <v>950</v>
      </c>
      <c r="I27" s="41">
        <v>6.306</v>
      </c>
      <c r="J27" s="41">
        <v>3.432</v>
      </c>
      <c r="K27" s="41">
        <v>58.9</v>
      </c>
    </row>
    <row r="28" spans="1:11" ht="12.75">
      <c r="A28" s="4">
        <v>2</v>
      </c>
      <c r="B28" s="5">
        <v>80</v>
      </c>
      <c r="C28" s="4">
        <v>1</v>
      </c>
      <c r="D28" s="4">
        <v>7.387</v>
      </c>
      <c r="E28" s="41">
        <v>3.7</v>
      </c>
      <c r="F28" s="41">
        <v>103.3</v>
      </c>
      <c r="G28" s="41">
        <v>59</v>
      </c>
      <c r="H28" s="41">
        <v>1070</v>
      </c>
      <c r="I28" s="41">
        <v>7.937</v>
      </c>
      <c r="J28" s="41">
        <v>4.86</v>
      </c>
      <c r="K28" s="41">
        <v>65.8</v>
      </c>
    </row>
    <row r="29" spans="1:11" ht="12.75">
      <c r="A29" s="4">
        <v>10</v>
      </c>
      <c r="B29" s="5">
        <v>80</v>
      </c>
      <c r="C29" s="4">
        <v>2</v>
      </c>
      <c r="D29" s="4">
        <v>7.387</v>
      </c>
      <c r="E29" s="41">
        <v>3.7</v>
      </c>
      <c r="F29" s="41">
        <v>100.7</v>
      </c>
      <c r="G29" s="41">
        <v>58</v>
      </c>
      <c r="H29" s="41">
        <v>1135</v>
      </c>
      <c r="I29" s="41">
        <v>7.991</v>
      </c>
      <c r="J29" s="41">
        <v>4.596</v>
      </c>
      <c r="K29" s="41">
        <v>62.2</v>
      </c>
    </row>
    <row r="30" spans="1:11" ht="12.75">
      <c r="A30" s="4">
        <v>11</v>
      </c>
      <c r="B30" s="5">
        <v>80</v>
      </c>
      <c r="C30" s="4">
        <v>3</v>
      </c>
      <c r="D30" s="4">
        <v>7.387</v>
      </c>
      <c r="E30" s="41">
        <v>3.7</v>
      </c>
      <c r="F30" s="41">
        <v>100</v>
      </c>
      <c r="G30" s="41">
        <v>58</v>
      </c>
      <c r="H30" s="41">
        <v>1143</v>
      </c>
      <c r="I30" s="41">
        <v>7.786</v>
      </c>
      <c r="J30" s="41">
        <v>4.721</v>
      </c>
      <c r="K30" s="41">
        <v>63.9</v>
      </c>
    </row>
    <row r="31" spans="1:11" ht="12.75">
      <c r="A31" s="4">
        <v>4</v>
      </c>
      <c r="B31" s="5">
        <v>150</v>
      </c>
      <c r="C31" s="4">
        <v>1</v>
      </c>
      <c r="D31" s="4">
        <v>10.284</v>
      </c>
      <c r="E31" s="41">
        <v>5.1</v>
      </c>
      <c r="F31" s="41">
        <v>103.1</v>
      </c>
      <c r="G31" s="41">
        <v>59</v>
      </c>
      <c r="H31" s="41">
        <v>1150</v>
      </c>
      <c r="I31" s="41">
        <v>10.158</v>
      </c>
      <c r="J31" s="41">
        <v>6.214</v>
      </c>
      <c r="K31" s="41">
        <v>60.4</v>
      </c>
    </row>
    <row r="32" spans="1:11" ht="12.75">
      <c r="A32" s="4">
        <v>5</v>
      </c>
      <c r="B32" s="5">
        <v>150</v>
      </c>
      <c r="C32" s="4">
        <v>2</v>
      </c>
      <c r="D32" s="4">
        <v>10.284</v>
      </c>
      <c r="E32" s="41">
        <v>5.1</v>
      </c>
      <c r="F32" s="41">
        <v>112.4</v>
      </c>
      <c r="G32" s="41">
        <v>58.5</v>
      </c>
      <c r="H32" s="41">
        <v>945</v>
      </c>
      <c r="I32" s="41">
        <v>8.648</v>
      </c>
      <c r="J32" s="41">
        <v>6.319</v>
      </c>
      <c r="K32" s="41">
        <v>61.4</v>
      </c>
    </row>
    <row r="33" spans="1:11" ht="12.75">
      <c r="A33" s="4">
        <v>13</v>
      </c>
      <c r="B33" s="5">
        <v>150</v>
      </c>
      <c r="C33" s="4">
        <v>3</v>
      </c>
      <c r="D33" s="4">
        <v>10.284</v>
      </c>
      <c r="E33" s="41">
        <v>5.1</v>
      </c>
      <c r="F33" s="41">
        <v>98.6</v>
      </c>
      <c r="G33" s="41">
        <v>58</v>
      </c>
      <c r="H33" s="41">
        <v>1240</v>
      </c>
      <c r="I33" s="41">
        <v>10.733</v>
      </c>
      <c r="J33" s="41">
        <v>5.941</v>
      </c>
      <c r="K33" s="41">
        <v>57.7</v>
      </c>
    </row>
    <row r="34" spans="1:11" ht="12.75">
      <c r="A34" s="4">
        <v>3</v>
      </c>
      <c r="B34" s="5">
        <v>300</v>
      </c>
      <c r="C34" s="4">
        <v>1</v>
      </c>
      <c r="D34" s="4">
        <v>14.539</v>
      </c>
      <c r="E34" s="41">
        <v>7.3</v>
      </c>
      <c r="F34" s="41">
        <v>108.3</v>
      </c>
      <c r="G34" s="41">
        <v>59</v>
      </c>
      <c r="H34" s="41">
        <v>1120</v>
      </c>
      <c r="I34" s="41">
        <v>13.754</v>
      </c>
      <c r="J34" s="41">
        <v>9.789</v>
      </c>
      <c r="K34" s="41">
        <v>67.2</v>
      </c>
    </row>
    <row r="35" spans="1:11" ht="12.75">
      <c r="A35" s="4">
        <v>12</v>
      </c>
      <c r="B35" s="5">
        <v>300</v>
      </c>
      <c r="C35" s="4">
        <v>2</v>
      </c>
      <c r="D35" s="4">
        <v>14.539</v>
      </c>
      <c r="E35" s="41">
        <v>7.3</v>
      </c>
      <c r="F35" s="41">
        <v>105.4</v>
      </c>
      <c r="G35" s="41">
        <v>58</v>
      </c>
      <c r="H35" s="41">
        <v>1195</v>
      </c>
      <c r="I35" s="41">
        <v>14.012</v>
      </c>
      <c r="J35" s="41">
        <v>9.068</v>
      </c>
      <c r="K35" s="41">
        <v>62.4</v>
      </c>
    </row>
    <row r="36" spans="1:11" ht="12.75">
      <c r="A36" s="4">
        <v>14</v>
      </c>
      <c r="B36" s="5">
        <v>300</v>
      </c>
      <c r="C36" s="4">
        <v>3</v>
      </c>
      <c r="D36" s="4">
        <v>14.539</v>
      </c>
      <c r="E36" s="41">
        <v>7.3</v>
      </c>
      <c r="F36" s="41">
        <v>98.6</v>
      </c>
      <c r="G36" s="41">
        <v>58</v>
      </c>
      <c r="H36" s="41">
        <v>1325</v>
      </c>
      <c r="I36" s="41">
        <v>14.011</v>
      </c>
      <c r="J36" s="41">
        <v>9.016</v>
      </c>
      <c r="K36" s="41">
        <v>62</v>
      </c>
    </row>
    <row r="40" ht="15.75">
      <c r="A40" s="1" t="s">
        <v>32</v>
      </c>
    </row>
    <row r="42" spans="1:11" ht="12.75">
      <c r="A42" s="3" t="s">
        <v>33</v>
      </c>
      <c r="B42" s="3" t="s">
        <v>34</v>
      </c>
      <c r="C42" s="3" t="s">
        <v>9</v>
      </c>
      <c r="D42" s="3" t="s">
        <v>35</v>
      </c>
      <c r="E42" s="3" t="s">
        <v>36</v>
      </c>
      <c r="F42" s="3" t="s">
        <v>37</v>
      </c>
      <c r="G42" s="3" t="s">
        <v>38</v>
      </c>
      <c r="H42" s="3" t="s">
        <v>39</v>
      </c>
      <c r="I42" s="3" t="s">
        <v>40</v>
      </c>
      <c r="J42" s="3" t="s">
        <v>41</v>
      </c>
      <c r="K42" s="3" t="s">
        <v>42</v>
      </c>
    </row>
    <row r="43" spans="1:11" ht="12.75">
      <c r="A43" s="4">
        <v>1</v>
      </c>
      <c r="B43" s="5">
        <v>20</v>
      </c>
      <c r="C43" s="4">
        <v>1</v>
      </c>
      <c r="D43" s="4">
        <v>5.943</v>
      </c>
      <c r="E43" s="4">
        <v>4.5</v>
      </c>
      <c r="F43" s="4">
        <v>126.2</v>
      </c>
      <c r="G43" s="4">
        <v>39.5</v>
      </c>
      <c r="H43" s="4">
        <v>575</v>
      </c>
      <c r="I43" s="4">
        <v>6.459</v>
      </c>
      <c r="J43" s="4">
        <v>5.247</v>
      </c>
      <c r="K43" s="4">
        <v>88.3</v>
      </c>
    </row>
    <row r="44" spans="1:11" ht="12.75">
      <c r="A44" s="4">
        <v>7</v>
      </c>
      <c r="B44" s="5">
        <v>20</v>
      </c>
      <c r="C44" s="4">
        <v>2</v>
      </c>
      <c r="D44" s="4">
        <v>5.943</v>
      </c>
      <c r="E44" s="4">
        <v>4.5</v>
      </c>
      <c r="F44" s="4">
        <v>120</v>
      </c>
      <c r="G44" s="4">
        <v>38</v>
      </c>
      <c r="H44" s="4">
        <v>620</v>
      </c>
      <c r="I44" s="4">
        <v>6.515</v>
      </c>
      <c r="J44" s="4">
        <v>5.003</v>
      </c>
      <c r="K44" s="4">
        <v>84.2</v>
      </c>
    </row>
    <row r="45" spans="1:11" ht="12.75">
      <c r="A45" s="4">
        <v>12</v>
      </c>
      <c r="B45" s="5">
        <v>20</v>
      </c>
      <c r="C45" s="4">
        <v>3</v>
      </c>
      <c r="D45" s="4">
        <v>5.943</v>
      </c>
      <c r="E45" s="4">
        <v>4.5</v>
      </c>
      <c r="F45" s="4">
        <v>123.2</v>
      </c>
      <c r="G45" s="4">
        <v>37</v>
      </c>
      <c r="H45" s="4">
        <v>700</v>
      </c>
      <c r="I45" s="4">
        <v>7.204</v>
      </c>
      <c r="J45" s="4">
        <v>5</v>
      </c>
      <c r="K45" s="4">
        <v>84.1</v>
      </c>
    </row>
    <row r="46" spans="1:11" ht="12.75">
      <c r="A46" s="4">
        <v>3</v>
      </c>
      <c r="B46" s="5">
        <v>50</v>
      </c>
      <c r="C46" s="4">
        <v>1</v>
      </c>
      <c r="D46" s="4">
        <v>12.968</v>
      </c>
      <c r="E46" s="4">
        <v>9.7</v>
      </c>
      <c r="F46" s="4">
        <v>120.5</v>
      </c>
      <c r="G46" s="4">
        <v>38.5</v>
      </c>
      <c r="H46" s="4">
        <v>900</v>
      </c>
      <c r="I46" s="4">
        <v>13.66</v>
      </c>
      <c r="J46" s="4">
        <v>12.88</v>
      </c>
      <c r="K46" s="4">
        <v>99.3</v>
      </c>
    </row>
    <row r="47" spans="1:11" ht="12.75">
      <c r="A47" s="4">
        <v>10</v>
      </c>
      <c r="B47" s="5">
        <v>50</v>
      </c>
      <c r="C47" s="4">
        <v>2</v>
      </c>
      <c r="D47" s="4">
        <v>12.968</v>
      </c>
      <c r="E47" s="4">
        <v>9.7</v>
      </c>
      <c r="F47" s="4">
        <v>120.7</v>
      </c>
      <c r="G47" s="4">
        <v>37</v>
      </c>
      <c r="H47" s="4">
        <v>880</v>
      </c>
      <c r="I47" s="4">
        <v>13.204</v>
      </c>
      <c r="J47" s="4">
        <v>12.352</v>
      </c>
      <c r="K47" s="4">
        <v>95.2</v>
      </c>
    </row>
    <row r="48" spans="1:11" ht="12.75">
      <c r="A48" s="4">
        <v>11</v>
      </c>
      <c r="B48" s="5">
        <v>50</v>
      </c>
      <c r="C48" s="4">
        <v>3</v>
      </c>
      <c r="D48" s="4">
        <v>12.968</v>
      </c>
      <c r="E48" s="4">
        <v>9.7</v>
      </c>
      <c r="F48" s="4">
        <v>125</v>
      </c>
      <c r="G48" s="4">
        <v>37</v>
      </c>
      <c r="H48" s="4">
        <v>825</v>
      </c>
      <c r="I48" s="4">
        <v>12.795</v>
      </c>
      <c r="J48" s="4">
        <v>11.825</v>
      </c>
      <c r="K48" s="4">
        <v>91.2</v>
      </c>
    </row>
    <row r="49" spans="1:11" ht="12.75">
      <c r="A49" s="4">
        <v>2</v>
      </c>
      <c r="B49" s="5">
        <v>80</v>
      </c>
      <c r="C49" s="4">
        <v>1</v>
      </c>
      <c r="D49" s="4">
        <v>16.91</v>
      </c>
      <c r="E49" s="4">
        <v>12.7</v>
      </c>
      <c r="F49" s="4">
        <v>120.1</v>
      </c>
      <c r="G49" s="4">
        <v>39</v>
      </c>
      <c r="H49" s="4">
        <v>965</v>
      </c>
      <c r="I49" s="4">
        <v>19.647</v>
      </c>
      <c r="J49" s="4">
        <v>15.914</v>
      </c>
      <c r="K49" s="4">
        <v>94.1</v>
      </c>
    </row>
    <row r="50" spans="1:11" ht="12.75">
      <c r="A50" s="4">
        <v>9</v>
      </c>
      <c r="B50" s="5">
        <v>80</v>
      </c>
      <c r="C50" s="4">
        <v>2</v>
      </c>
      <c r="D50" s="4">
        <v>16.91</v>
      </c>
      <c r="E50" s="4">
        <v>12.7</v>
      </c>
      <c r="F50" s="4">
        <v>134.2</v>
      </c>
      <c r="G50" s="4">
        <v>37</v>
      </c>
      <c r="H50" s="4">
        <v>790</v>
      </c>
      <c r="I50" s="4">
        <v>19.456</v>
      </c>
      <c r="J50" s="4">
        <v>16.061</v>
      </c>
      <c r="K50" s="4">
        <v>95</v>
      </c>
    </row>
    <row r="51" spans="1:11" ht="12.75">
      <c r="A51" s="4">
        <v>14</v>
      </c>
      <c r="B51" s="5">
        <v>80</v>
      </c>
      <c r="C51" s="4">
        <v>3</v>
      </c>
      <c r="D51" s="4">
        <v>16.91</v>
      </c>
      <c r="E51" s="4">
        <v>12.7</v>
      </c>
      <c r="F51" s="4">
        <v>122.1</v>
      </c>
      <c r="G51" s="4">
        <v>37</v>
      </c>
      <c r="H51" s="4">
        <v>943</v>
      </c>
      <c r="I51" s="4">
        <v>19.942</v>
      </c>
      <c r="J51" s="4">
        <v>15.676</v>
      </c>
      <c r="K51" s="4">
        <v>92.7</v>
      </c>
    </row>
    <row r="52" spans="1:11" ht="12.75">
      <c r="A52" s="4"/>
      <c r="B52" s="5">
        <v>150</v>
      </c>
      <c r="C52" s="4">
        <v>1</v>
      </c>
      <c r="D52" s="4">
        <v>28.293</v>
      </c>
      <c r="E52" s="4">
        <v>21.2</v>
      </c>
      <c r="F52" s="4">
        <v>115.8</v>
      </c>
      <c r="G52" s="4">
        <v>38</v>
      </c>
      <c r="H52" s="4">
        <v>1100</v>
      </c>
      <c r="I52" s="4">
        <v>29.711</v>
      </c>
      <c r="J52" s="4">
        <v>24.439</v>
      </c>
      <c r="K52" s="4">
        <v>86.4</v>
      </c>
    </row>
    <row r="53" spans="1:11" ht="12.75">
      <c r="A53" s="4">
        <v>6</v>
      </c>
      <c r="B53" s="5">
        <v>150</v>
      </c>
      <c r="C53" s="4">
        <v>2</v>
      </c>
      <c r="D53" s="4">
        <v>28.293</v>
      </c>
      <c r="E53" s="4">
        <v>21.2</v>
      </c>
      <c r="F53" s="4">
        <v>119.4</v>
      </c>
      <c r="G53" s="4">
        <v>38</v>
      </c>
      <c r="H53" s="4">
        <v>1080</v>
      </c>
      <c r="I53" s="4">
        <v>30.904</v>
      </c>
      <c r="J53" s="4">
        <v>24.711</v>
      </c>
      <c r="K53" s="4">
        <v>87.3</v>
      </c>
    </row>
    <row r="54" spans="1:11" ht="12.75">
      <c r="A54" s="4">
        <v>13</v>
      </c>
      <c r="B54" s="5">
        <v>150</v>
      </c>
      <c r="C54" s="4">
        <v>3</v>
      </c>
      <c r="D54" s="4">
        <v>28.293</v>
      </c>
      <c r="E54" s="4">
        <v>21.2</v>
      </c>
      <c r="F54" s="4">
        <v>120.1</v>
      </c>
      <c r="G54" s="4">
        <v>37</v>
      </c>
      <c r="H54" s="4">
        <v>1075</v>
      </c>
      <c r="I54" s="4">
        <v>29.977</v>
      </c>
      <c r="J54" s="4">
        <v>24.134</v>
      </c>
      <c r="K54" s="4">
        <v>85.3</v>
      </c>
    </row>
    <row r="55" spans="1:11" ht="12.75">
      <c r="A55" s="4">
        <v>4</v>
      </c>
      <c r="B55" s="5">
        <v>300</v>
      </c>
      <c r="C55" s="4">
        <v>1</v>
      </c>
      <c r="D55" s="4">
        <v>47.886</v>
      </c>
      <c r="E55" s="4">
        <v>35.9</v>
      </c>
      <c r="F55" s="4">
        <v>120.4</v>
      </c>
      <c r="G55" s="4">
        <v>38</v>
      </c>
      <c r="H55" s="4">
        <v>1180</v>
      </c>
      <c r="I55" s="4">
        <v>46.584</v>
      </c>
      <c r="J55" s="4">
        <v>39.067</v>
      </c>
      <c r="K55" s="4">
        <v>81.6</v>
      </c>
    </row>
    <row r="56" spans="1:11" ht="12.75">
      <c r="A56" s="4">
        <v>8</v>
      </c>
      <c r="B56" s="5">
        <v>300</v>
      </c>
      <c r="C56" s="4">
        <v>2</v>
      </c>
      <c r="D56" s="4">
        <v>47.886</v>
      </c>
      <c r="E56" s="4">
        <v>35.9</v>
      </c>
      <c r="F56" s="4">
        <v>128.9</v>
      </c>
      <c r="G56" s="4">
        <v>37</v>
      </c>
      <c r="H56" s="4">
        <v>1040</v>
      </c>
      <c r="I56" s="4">
        <v>48.551</v>
      </c>
      <c r="J56" s="4">
        <v>40.055</v>
      </c>
      <c r="K56" s="4">
        <v>83.6</v>
      </c>
    </row>
    <row r="57" spans="1:11" ht="12.75">
      <c r="A57" s="4">
        <v>15</v>
      </c>
      <c r="B57" s="5">
        <v>300</v>
      </c>
      <c r="C57" s="4">
        <v>3</v>
      </c>
      <c r="D57" s="4">
        <v>47.886</v>
      </c>
      <c r="E57" s="4">
        <v>35.9</v>
      </c>
      <c r="F57" s="4">
        <v>127.1</v>
      </c>
      <c r="G57" s="4">
        <v>37</v>
      </c>
      <c r="H57" s="4">
        <v>1075</v>
      </c>
      <c r="I57" s="4">
        <v>48.913</v>
      </c>
      <c r="J57" s="4">
        <v>41.374</v>
      </c>
      <c r="K57" s="4">
        <v>86.4</v>
      </c>
    </row>
    <row r="60" spans="1:11" ht="12.75">
      <c r="A60" s="3" t="s">
        <v>33</v>
      </c>
      <c r="B60" s="3" t="s">
        <v>34</v>
      </c>
      <c r="C60" s="3" t="s">
        <v>9</v>
      </c>
      <c r="D60" s="3" t="s">
        <v>35</v>
      </c>
      <c r="E60" s="3" t="s">
        <v>43</v>
      </c>
      <c r="F60" s="3" t="s">
        <v>37</v>
      </c>
      <c r="G60" s="3" t="s">
        <v>38</v>
      </c>
      <c r="H60" s="3" t="s">
        <v>39</v>
      </c>
      <c r="I60" s="3" t="s">
        <v>40</v>
      </c>
      <c r="J60" s="3" t="s">
        <v>41</v>
      </c>
      <c r="K60" s="3" t="s">
        <v>42</v>
      </c>
    </row>
    <row r="61" spans="1:11" ht="12.75">
      <c r="A61" s="4">
        <v>1</v>
      </c>
      <c r="B61" s="5">
        <v>20</v>
      </c>
      <c r="C61" s="4">
        <v>1</v>
      </c>
      <c r="D61" s="4">
        <v>5.943</v>
      </c>
      <c r="E61" s="41">
        <v>3</v>
      </c>
      <c r="F61" s="41">
        <v>124.1</v>
      </c>
      <c r="G61" s="41">
        <v>53.5</v>
      </c>
      <c r="H61" s="41">
        <v>640</v>
      </c>
      <c r="I61" s="41">
        <v>6.815</v>
      </c>
      <c r="J61" s="41">
        <v>4.453</v>
      </c>
      <c r="K61" s="41">
        <v>74.9</v>
      </c>
    </row>
    <row r="62" spans="1:11" ht="12.75">
      <c r="A62" s="4">
        <v>7</v>
      </c>
      <c r="B62" s="5">
        <v>20</v>
      </c>
      <c r="C62" s="4">
        <v>2</v>
      </c>
      <c r="D62" s="4">
        <v>5.943</v>
      </c>
      <c r="E62" s="41">
        <v>3</v>
      </c>
      <c r="F62" s="41">
        <v>119.8</v>
      </c>
      <c r="G62" s="41">
        <v>56</v>
      </c>
      <c r="H62" s="41">
        <v>770</v>
      </c>
      <c r="I62" s="41">
        <v>7.225</v>
      </c>
      <c r="J62" s="41">
        <v>4.083</v>
      </c>
      <c r="K62" s="41">
        <v>68.7</v>
      </c>
    </row>
    <row r="63" spans="1:11" ht="12.75">
      <c r="A63" s="4">
        <v>9</v>
      </c>
      <c r="B63" s="5">
        <v>20</v>
      </c>
      <c r="C63" s="4">
        <v>3</v>
      </c>
      <c r="D63" s="4">
        <v>5.943</v>
      </c>
      <c r="E63" s="41">
        <v>3</v>
      </c>
      <c r="F63" s="41">
        <v>122.8</v>
      </c>
      <c r="G63" s="41">
        <v>55</v>
      </c>
      <c r="H63" s="41">
        <v>685</v>
      </c>
      <c r="I63" s="41">
        <v>7.149</v>
      </c>
      <c r="J63" s="41">
        <v>4.113</v>
      </c>
      <c r="K63" s="41">
        <v>69.2</v>
      </c>
    </row>
    <row r="64" spans="1:11" ht="12.75">
      <c r="A64" s="4">
        <v>6</v>
      </c>
      <c r="B64" s="5">
        <v>50</v>
      </c>
      <c r="C64" s="4">
        <v>1</v>
      </c>
      <c r="D64" s="4">
        <v>12.968</v>
      </c>
      <c r="E64" s="41">
        <v>6.5</v>
      </c>
      <c r="F64" s="41">
        <v>117.9</v>
      </c>
      <c r="G64" s="41">
        <v>56</v>
      </c>
      <c r="H64" s="41">
        <v>970</v>
      </c>
      <c r="I64" s="41">
        <v>14.113</v>
      </c>
      <c r="J64" s="41">
        <v>7.611</v>
      </c>
      <c r="K64" s="41">
        <v>58.7</v>
      </c>
    </row>
    <row r="65" spans="1:11" ht="12.75">
      <c r="A65" s="4">
        <v>8</v>
      </c>
      <c r="B65" s="5">
        <v>50</v>
      </c>
      <c r="C65" s="4">
        <v>2</v>
      </c>
      <c r="D65" s="4">
        <v>12.968</v>
      </c>
      <c r="E65" s="41">
        <v>6.5</v>
      </c>
      <c r="F65" s="41">
        <v>111.7</v>
      </c>
      <c r="G65" s="41">
        <v>56</v>
      </c>
      <c r="H65" s="41">
        <v>1070</v>
      </c>
      <c r="I65" s="41">
        <v>14.793</v>
      </c>
      <c r="J65" s="41">
        <v>8.33</v>
      </c>
      <c r="K65" s="41">
        <v>64.2</v>
      </c>
    </row>
    <row r="66" spans="1:11" ht="12.75">
      <c r="A66" s="4">
        <v>15</v>
      </c>
      <c r="B66" s="5">
        <v>50</v>
      </c>
      <c r="C66" s="4">
        <v>3</v>
      </c>
      <c r="D66" s="4">
        <v>12.968</v>
      </c>
      <c r="E66" s="41">
        <v>6.5</v>
      </c>
      <c r="F66" s="41">
        <v>113.1</v>
      </c>
      <c r="G66" s="41">
        <v>56</v>
      </c>
      <c r="H66" s="41">
        <v>1020</v>
      </c>
      <c r="I66" s="41">
        <v>14.674</v>
      </c>
      <c r="J66" s="41">
        <v>7.949</v>
      </c>
      <c r="K66" s="41">
        <v>61.3</v>
      </c>
    </row>
    <row r="67" spans="1:11" ht="12.75">
      <c r="A67" s="4">
        <v>2</v>
      </c>
      <c r="B67" s="5">
        <v>80</v>
      </c>
      <c r="C67" s="4">
        <v>1</v>
      </c>
      <c r="D67" s="4">
        <v>16.91</v>
      </c>
      <c r="E67" s="41">
        <v>8.5</v>
      </c>
      <c r="F67" s="41">
        <v>126.2</v>
      </c>
      <c r="G67" s="41">
        <v>54.5</v>
      </c>
      <c r="H67" s="41">
        <v>880</v>
      </c>
      <c r="I67" s="41">
        <v>15.687</v>
      </c>
      <c r="J67" s="41">
        <v>10.768</v>
      </c>
      <c r="K67" s="41">
        <v>63.7</v>
      </c>
    </row>
    <row r="68" spans="1:11" ht="12.75">
      <c r="A68" s="4">
        <v>10</v>
      </c>
      <c r="B68" s="5">
        <v>80</v>
      </c>
      <c r="C68" s="4">
        <v>2</v>
      </c>
      <c r="D68" s="4">
        <v>16.91</v>
      </c>
      <c r="E68" s="41">
        <v>8.5</v>
      </c>
      <c r="F68" s="41">
        <v>119.7</v>
      </c>
      <c r="G68" s="41">
        <v>55</v>
      </c>
      <c r="H68" s="41">
        <v>1010</v>
      </c>
      <c r="I68" s="41">
        <v>19.721</v>
      </c>
      <c r="J68" s="41">
        <v>11.051</v>
      </c>
      <c r="K68" s="41">
        <v>65.4</v>
      </c>
    </row>
    <row r="69" spans="1:11" ht="12.75">
      <c r="A69" s="4">
        <v>11</v>
      </c>
      <c r="B69" s="5">
        <v>80</v>
      </c>
      <c r="C69" s="4">
        <v>3</v>
      </c>
      <c r="D69" s="4">
        <v>16.91</v>
      </c>
      <c r="E69" s="41">
        <v>8.5</v>
      </c>
      <c r="F69" s="41">
        <v>120.8</v>
      </c>
      <c r="G69" s="41">
        <v>55</v>
      </c>
      <c r="H69" s="41">
        <v>1005</v>
      </c>
      <c r="I69" s="41">
        <v>16.003</v>
      </c>
      <c r="J69" s="41">
        <v>11.211</v>
      </c>
      <c r="K69" s="41">
        <v>66.3</v>
      </c>
    </row>
    <row r="70" spans="1:11" ht="12.75">
      <c r="A70" s="4">
        <v>4</v>
      </c>
      <c r="B70" s="5">
        <v>150</v>
      </c>
      <c r="C70" s="4">
        <v>1</v>
      </c>
      <c r="D70" s="4">
        <v>28.293</v>
      </c>
      <c r="E70" s="41">
        <v>14.1</v>
      </c>
      <c r="F70" s="41">
        <v>124.3</v>
      </c>
      <c r="G70" s="41">
        <v>55.5</v>
      </c>
      <c r="H70" s="41">
        <v>1020</v>
      </c>
      <c r="I70" s="41">
        <v>31.416</v>
      </c>
      <c r="J70" s="41">
        <v>18.498</v>
      </c>
      <c r="K70" s="41">
        <v>65.4</v>
      </c>
    </row>
    <row r="71" spans="1:11" ht="12.75">
      <c r="A71" s="4">
        <v>5</v>
      </c>
      <c r="B71" s="5">
        <v>150</v>
      </c>
      <c r="C71" s="4">
        <v>2</v>
      </c>
      <c r="D71" s="4">
        <v>28.293</v>
      </c>
      <c r="E71" s="41">
        <v>14.1</v>
      </c>
      <c r="F71" s="41">
        <v>122.6</v>
      </c>
      <c r="G71" s="41">
        <v>56</v>
      </c>
      <c r="H71" s="41">
        <v>1150</v>
      </c>
      <c r="I71" s="41">
        <v>32.06</v>
      </c>
      <c r="J71" s="41">
        <v>17.201</v>
      </c>
      <c r="K71" s="41">
        <v>60.8</v>
      </c>
    </row>
    <row r="72" spans="1:11" ht="12.75">
      <c r="A72" s="4">
        <v>13</v>
      </c>
      <c r="B72" s="5">
        <v>150</v>
      </c>
      <c r="C72" s="4">
        <v>3</v>
      </c>
      <c r="D72" s="4">
        <v>28.293</v>
      </c>
      <c r="E72" s="41">
        <v>14.1</v>
      </c>
      <c r="F72" s="41">
        <v>123</v>
      </c>
      <c r="G72" s="41">
        <v>55</v>
      </c>
      <c r="H72" s="41">
        <v>1125</v>
      </c>
      <c r="I72" s="41">
        <v>30.661</v>
      </c>
      <c r="J72" s="41">
        <v>17.513</v>
      </c>
      <c r="K72" s="41">
        <v>61.9</v>
      </c>
    </row>
    <row r="73" spans="1:11" ht="12.75">
      <c r="A73" s="4">
        <v>3</v>
      </c>
      <c r="B73" s="5">
        <v>300</v>
      </c>
      <c r="C73" s="4">
        <v>1</v>
      </c>
      <c r="D73" s="4">
        <v>47.886</v>
      </c>
      <c r="E73" s="41">
        <v>23.9</v>
      </c>
      <c r="F73" s="41">
        <v>120.8</v>
      </c>
      <c r="G73" s="41">
        <v>55</v>
      </c>
      <c r="H73" s="41">
        <v>1180</v>
      </c>
      <c r="I73" s="41">
        <v>49.603</v>
      </c>
      <c r="J73" s="41">
        <v>30.249</v>
      </c>
      <c r="K73" s="41">
        <v>63.2</v>
      </c>
    </row>
    <row r="74" spans="1:11" ht="12.75">
      <c r="A74" s="4">
        <v>12</v>
      </c>
      <c r="B74" s="5">
        <v>300</v>
      </c>
      <c r="C74" s="4">
        <v>2</v>
      </c>
      <c r="D74" s="4">
        <v>47.886</v>
      </c>
      <c r="E74" s="41">
        <v>23.9</v>
      </c>
      <c r="F74" s="41">
        <v>113.8</v>
      </c>
      <c r="G74" s="41">
        <v>55</v>
      </c>
      <c r="H74" s="41">
        <v>1310</v>
      </c>
      <c r="I74" s="41">
        <v>48.441</v>
      </c>
      <c r="J74" s="41">
        <v>30.716</v>
      </c>
      <c r="K74" s="41">
        <v>64.1</v>
      </c>
    </row>
    <row r="75" spans="1:11" ht="12.75">
      <c r="A75" s="4">
        <v>14</v>
      </c>
      <c r="B75" s="5">
        <v>300</v>
      </c>
      <c r="C75" s="4">
        <v>3</v>
      </c>
      <c r="D75" s="4">
        <v>47.886</v>
      </c>
      <c r="E75" s="41">
        <v>23.9</v>
      </c>
      <c r="F75" s="41">
        <v>116.1</v>
      </c>
      <c r="G75" s="41">
        <v>55</v>
      </c>
      <c r="H75" s="41">
        <v>1210</v>
      </c>
      <c r="I75" s="41">
        <v>48.301</v>
      </c>
      <c r="J75" s="41">
        <v>31.126</v>
      </c>
      <c r="K75" s="41">
        <v>65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 &amp; Violence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Johansen</dc:creator>
  <cp:keywords/>
  <dc:description/>
  <cp:lastModifiedBy>Kenneth Johansen</cp:lastModifiedBy>
  <cp:lastPrinted>2005-05-23T10:58:08Z</cp:lastPrinted>
  <dcterms:created xsi:type="dcterms:W3CDTF">2005-05-10T12:15:12Z</dcterms:created>
  <dcterms:modified xsi:type="dcterms:W3CDTF">2005-05-23T10:58:10Z</dcterms:modified>
  <cp:category/>
  <cp:version/>
  <cp:contentType/>
  <cp:contentStatus/>
</cp:coreProperties>
</file>