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Thesis\Annex Materials\"/>
    </mc:Choice>
  </mc:AlternateContent>
  <xr:revisionPtr revIDLastSave="0" documentId="13_ncr:1_{3449A8E3-CD47-4787-B425-EF1485F77BF3}" xr6:coauthVersionLast="47" xr6:coauthVersionMax="47" xr10:uidLastSave="{00000000-0000-0000-0000-000000000000}"/>
  <bookViews>
    <workbookView xWindow="-120" yWindow="-120" windowWidth="20730" windowHeight="11040" xr2:uid="{CCA22A77-4F5F-46E4-9BAD-20636A72AC8D}"/>
  </bookViews>
  <sheets>
    <sheet name="6th Iteration" sheetId="11" r:id="rId1"/>
    <sheet name="5th Iteration" sheetId="10" r:id="rId2"/>
    <sheet name="4th Iteration" sheetId="9" r:id="rId3"/>
    <sheet name="3rd Iteration" sheetId="8" r:id="rId4"/>
    <sheet name="2nd Iteration" sheetId="7" r:id="rId5"/>
    <sheet name="1st Iteration" sheetId="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9" i="11" l="1"/>
  <c r="C279" i="11"/>
  <c r="H250" i="11"/>
  <c r="H228" i="11"/>
  <c r="H206" i="11"/>
  <c r="H190" i="11"/>
  <c r="H189" i="11"/>
  <c r="H167" i="11"/>
  <c r="H165" i="11"/>
  <c r="H144" i="11"/>
  <c r="H143" i="11"/>
  <c r="H142" i="11"/>
  <c r="H152" i="11" s="1"/>
  <c r="H141" i="11"/>
  <c r="H126" i="11"/>
  <c r="H113" i="11"/>
  <c r="H105" i="11"/>
  <c r="H97" i="11"/>
  <c r="H98" i="11" s="1"/>
  <c r="H101" i="11" s="1"/>
  <c r="H147" i="11" s="1"/>
  <c r="H83" i="11"/>
  <c r="H85" i="11" s="1"/>
  <c r="H73" i="11"/>
  <c r="H68" i="11"/>
  <c r="H252" i="11" s="1"/>
  <c r="H67" i="11"/>
  <c r="H227" i="11" s="1"/>
  <c r="H66" i="11"/>
  <c r="H96" i="11" s="1"/>
  <c r="H64" i="11"/>
  <c r="H251" i="11" s="1"/>
  <c r="H62" i="11"/>
  <c r="H249" i="11" s="1"/>
  <c r="H61" i="11"/>
  <c r="H248" i="11" s="1"/>
  <c r="H57" i="11"/>
  <c r="H205" i="11" s="1"/>
  <c r="H56" i="11"/>
  <c r="H55" i="11"/>
  <c r="H54" i="11"/>
  <c r="H188" i="11" s="1"/>
  <c r="H53" i="11"/>
  <c r="H187" i="11" s="1"/>
  <c r="H210" i="11" s="1"/>
  <c r="H50" i="11"/>
  <c r="H148" i="11" s="1"/>
  <c r="H45" i="11"/>
  <c r="H140" i="11" s="1"/>
  <c r="H42" i="11"/>
  <c r="H116" i="11" s="1"/>
  <c r="H41" i="11"/>
  <c r="H40" i="11"/>
  <c r="I37" i="11"/>
  <c r="I34" i="11"/>
  <c r="H31" i="11"/>
  <c r="H30" i="11"/>
  <c r="H95" i="11" s="1"/>
  <c r="H27" i="11"/>
  <c r="H166" i="11" s="1"/>
  <c r="H26" i="11"/>
  <c r="H125" i="11" s="1"/>
  <c r="H25" i="11"/>
  <c r="H124" i="11" s="1"/>
  <c r="H23" i="11"/>
  <c r="H21" i="11"/>
  <c r="H19" i="11"/>
  <c r="H115" i="11" s="1"/>
  <c r="H17" i="11"/>
  <c r="H16" i="11"/>
  <c r="H114" i="11" s="1"/>
  <c r="H15" i="11"/>
  <c r="H73" i="10"/>
  <c r="H78" i="9"/>
  <c r="H73" i="9"/>
  <c r="H78" i="8"/>
  <c r="H73" i="8"/>
  <c r="H78" i="7"/>
  <c r="H73" i="7"/>
  <c r="H78" i="2"/>
  <c r="H73" i="2"/>
  <c r="H54" i="2"/>
  <c r="H18" i="11" l="1"/>
  <c r="H78" i="11"/>
  <c r="C279" i="10"/>
  <c r="H250" i="10"/>
  <c r="H206" i="10"/>
  <c r="H167" i="10"/>
  <c r="H165" i="10"/>
  <c r="H144" i="10"/>
  <c r="H143" i="10"/>
  <c r="H142" i="10"/>
  <c r="H141" i="10"/>
  <c r="H126" i="10"/>
  <c r="H114" i="10"/>
  <c r="H96" i="10"/>
  <c r="H68" i="10"/>
  <c r="H252" i="10" s="1"/>
  <c r="H67" i="10"/>
  <c r="H227" i="10" s="1"/>
  <c r="H66" i="10"/>
  <c r="H64" i="10"/>
  <c r="H251" i="10" s="1"/>
  <c r="H62" i="10"/>
  <c r="H249" i="10" s="1"/>
  <c r="H61" i="10"/>
  <c r="H248" i="10" s="1"/>
  <c r="H57" i="10"/>
  <c r="H205" i="10" s="1"/>
  <c r="H56" i="10"/>
  <c r="H228" i="10" s="1"/>
  <c r="H55" i="10"/>
  <c r="H189" i="10" s="1"/>
  <c r="H54" i="10"/>
  <c r="H188" i="10" s="1"/>
  <c r="H53" i="10"/>
  <c r="H187" i="10" s="1"/>
  <c r="H210" i="10" s="1"/>
  <c r="H50" i="10"/>
  <c r="H148" i="10" s="1"/>
  <c r="H45" i="10"/>
  <c r="H140" i="10" s="1"/>
  <c r="H42" i="10"/>
  <c r="H116" i="10" s="1"/>
  <c r="H41" i="10"/>
  <c r="H40" i="10"/>
  <c r="H105" i="10" s="1"/>
  <c r="I37" i="10"/>
  <c r="I34" i="10"/>
  <c r="H31" i="10"/>
  <c r="H97" i="10" s="1"/>
  <c r="H30" i="10"/>
  <c r="H95" i="10" s="1"/>
  <c r="H27" i="10"/>
  <c r="H166" i="10" s="1"/>
  <c r="H26" i="10"/>
  <c r="H125" i="10" s="1"/>
  <c r="H25" i="10"/>
  <c r="H124" i="10" s="1"/>
  <c r="H23" i="10"/>
  <c r="H113" i="10" s="1"/>
  <c r="H21" i="10"/>
  <c r="H83" i="10" s="1"/>
  <c r="H19" i="10"/>
  <c r="H115" i="10" s="1"/>
  <c r="H17" i="10"/>
  <c r="H16" i="10"/>
  <c r="H15" i="10"/>
  <c r="H78" i="10" s="1"/>
  <c r="E279" i="11" l="1"/>
  <c r="H82" i="11"/>
  <c r="H18" i="10"/>
  <c r="H152" i="10"/>
  <c r="H98" i="10"/>
  <c r="H101" i="10" s="1"/>
  <c r="H147" i="10" s="1"/>
  <c r="H85" i="10"/>
  <c r="H190" i="10"/>
  <c r="E280" i="11" l="1"/>
  <c r="H118" i="11"/>
  <c r="H84" i="11"/>
  <c r="H54" i="9"/>
  <c r="H188" i="9" s="1"/>
  <c r="H54" i="8"/>
  <c r="H188" i="8" s="1"/>
  <c r="H54" i="7"/>
  <c r="H188" i="7" s="1"/>
  <c r="C279" i="9"/>
  <c r="I34" i="8"/>
  <c r="I34" i="2"/>
  <c r="I34" i="7"/>
  <c r="I34" i="9"/>
  <c r="H250" i="9"/>
  <c r="H206" i="9"/>
  <c r="H167" i="9"/>
  <c r="H165" i="9"/>
  <c r="H144" i="9"/>
  <c r="H143" i="9"/>
  <c r="H142" i="9"/>
  <c r="H141" i="9"/>
  <c r="H126" i="9"/>
  <c r="H68" i="9"/>
  <c r="H252" i="9" s="1"/>
  <c r="H67" i="9"/>
  <c r="H227" i="9" s="1"/>
  <c r="H66" i="9"/>
  <c r="H96" i="9" s="1"/>
  <c r="H64" i="9"/>
  <c r="H251" i="9" s="1"/>
  <c r="H62" i="9"/>
  <c r="H249" i="9" s="1"/>
  <c r="H61" i="9"/>
  <c r="H248" i="9" s="1"/>
  <c r="H57" i="9"/>
  <c r="H205" i="9" s="1"/>
  <c r="H56" i="9"/>
  <c r="H190" i="9" s="1"/>
  <c r="H55" i="9"/>
  <c r="H189" i="9" s="1"/>
  <c r="H53" i="9"/>
  <c r="H187" i="9" s="1"/>
  <c r="H210" i="9" s="1"/>
  <c r="H50" i="9"/>
  <c r="H148" i="9" s="1"/>
  <c r="H45" i="9"/>
  <c r="H140" i="9" s="1"/>
  <c r="H42" i="9"/>
  <c r="H116" i="9" s="1"/>
  <c r="H41" i="9"/>
  <c r="H40" i="9"/>
  <c r="H105" i="9" s="1"/>
  <c r="I37" i="9"/>
  <c r="H31" i="9"/>
  <c r="H97" i="9" s="1"/>
  <c r="H30" i="9"/>
  <c r="H95" i="9" s="1"/>
  <c r="H27" i="9"/>
  <c r="H166" i="9" s="1"/>
  <c r="H26" i="9"/>
  <c r="H125" i="9" s="1"/>
  <c r="H25" i="9"/>
  <c r="H124" i="9" s="1"/>
  <c r="H23" i="9"/>
  <c r="H113" i="9" s="1"/>
  <c r="H21" i="9"/>
  <c r="H19" i="9"/>
  <c r="H115" i="9" s="1"/>
  <c r="H17" i="9"/>
  <c r="H16" i="9"/>
  <c r="H114" i="9" s="1"/>
  <c r="H15" i="9"/>
  <c r="H250" i="8"/>
  <c r="H206" i="8"/>
  <c r="H205" i="8"/>
  <c r="H167" i="8"/>
  <c r="H165" i="8"/>
  <c r="H144" i="8"/>
  <c r="H143" i="8"/>
  <c r="H142" i="8"/>
  <c r="H141" i="8"/>
  <c r="H126" i="8"/>
  <c r="H113" i="8"/>
  <c r="H68" i="8"/>
  <c r="H252" i="8" s="1"/>
  <c r="H67" i="8"/>
  <c r="H227" i="8" s="1"/>
  <c r="H66" i="8"/>
  <c r="H96" i="8" s="1"/>
  <c r="H64" i="8"/>
  <c r="H251" i="8" s="1"/>
  <c r="H62" i="8"/>
  <c r="H249" i="8" s="1"/>
  <c r="H61" i="8"/>
  <c r="H248" i="8" s="1"/>
  <c r="H57" i="8"/>
  <c r="H56" i="8"/>
  <c r="H228" i="8" s="1"/>
  <c r="H55" i="8"/>
  <c r="H189" i="8" s="1"/>
  <c r="H53" i="8"/>
  <c r="H187" i="8" s="1"/>
  <c r="H210" i="8" s="1"/>
  <c r="H50" i="8"/>
  <c r="H148" i="8" s="1"/>
  <c r="H45" i="8"/>
  <c r="H140" i="8" s="1"/>
  <c r="H42" i="8"/>
  <c r="H116" i="8" s="1"/>
  <c r="H41" i="8"/>
  <c r="H40" i="8"/>
  <c r="H105" i="8" s="1"/>
  <c r="I37" i="8"/>
  <c r="H31" i="8"/>
  <c r="H97" i="8" s="1"/>
  <c r="H30" i="8"/>
  <c r="H95" i="8" s="1"/>
  <c r="H27" i="8"/>
  <c r="H166" i="8" s="1"/>
  <c r="H26" i="8"/>
  <c r="H125" i="8" s="1"/>
  <c r="H25" i="8"/>
  <c r="H124" i="8" s="1"/>
  <c r="H23" i="8"/>
  <c r="H21" i="8"/>
  <c r="H19" i="8"/>
  <c r="H115" i="8" s="1"/>
  <c r="H17" i="8"/>
  <c r="H16" i="8"/>
  <c r="H114" i="8" s="1"/>
  <c r="H15" i="8"/>
  <c r="H250" i="7"/>
  <c r="H206" i="7"/>
  <c r="H167" i="7"/>
  <c r="H165" i="7"/>
  <c r="H144" i="7"/>
  <c r="H143" i="7"/>
  <c r="H142" i="7"/>
  <c r="H141" i="7"/>
  <c r="H126" i="7"/>
  <c r="H68" i="7"/>
  <c r="H252" i="7" s="1"/>
  <c r="H67" i="7"/>
  <c r="H227" i="7" s="1"/>
  <c r="H66" i="7"/>
  <c r="H96" i="7" s="1"/>
  <c r="H64" i="7"/>
  <c r="H251" i="7" s="1"/>
  <c r="H62" i="7"/>
  <c r="H249" i="7" s="1"/>
  <c r="H61" i="7"/>
  <c r="H248" i="7" s="1"/>
  <c r="H57" i="7"/>
  <c r="H205" i="7" s="1"/>
  <c r="H56" i="7"/>
  <c r="H228" i="7" s="1"/>
  <c r="H55" i="7"/>
  <c r="H189" i="7" s="1"/>
  <c r="H53" i="7"/>
  <c r="H187" i="7" s="1"/>
  <c r="H210" i="7" s="1"/>
  <c r="H50" i="7"/>
  <c r="H148" i="7" s="1"/>
  <c r="H45" i="7"/>
  <c r="H140" i="7" s="1"/>
  <c r="H42" i="7"/>
  <c r="H116" i="7" s="1"/>
  <c r="H41" i="7"/>
  <c r="H40" i="7"/>
  <c r="H105" i="7" s="1"/>
  <c r="I37" i="7"/>
  <c r="H31" i="7"/>
  <c r="H97" i="7" s="1"/>
  <c r="H30" i="7"/>
  <c r="H95" i="7" s="1"/>
  <c r="H27" i="7"/>
  <c r="H166" i="7" s="1"/>
  <c r="H26" i="7"/>
  <c r="H125" i="7" s="1"/>
  <c r="H25" i="7"/>
  <c r="H124" i="7" s="1"/>
  <c r="H23" i="7"/>
  <c r="H113" i="7" s="1"/>
  <c r="H21" i="7"/>
  <c r="H19" i="7"/>
  <c r="H115" i="7" s="1"/>
  <c r="H17" i="7"/>
  <c r="H16" i="7"/>
  <c r="H114" i="7" s="1"/>
  <c r="H15" i="7"/>
  <c r="H11" i="2"/>
  <c r="H12" i="2" s="1"/>
  <c r="H139" i="2" s="1"/>
  <c r="H62" i="2"/>
  <c r="H126" i="2"/>
  <c r="H56" i="2"/>
  <c r="H21" i="2"/>
  <c r="H141" i="2"/>
  <c r="H144" i="2"/>
  <c r="H142" i="2"/>
  <c r="H17" i="2"/>
  <c r="H26" i="2"/>
  <c r="H125" i="2" s="1"/>
  <c r="H25" i="2"/>
  <c r="H124" i="2" s="1"/>
  <c r="H23" i="2"/>
  <c r="H113" i="2" s="1"/>
  <c r="H19" i="2"/>
  <c r="H50" i="2"/>
  <c r="H148" i="2" s="1"/>
  <c r="C280" i="11" l="1"/>
  <c r="H86" i="11"/>
  <c r="H152" i="7"/>
  <c r="H83" i="8"/>
  <c r="H85" i="8" s="1"/>
  <c r="H152" i="8"/>
  <c r="H18" i="8"/>
  <c r="H98" i="8"/>
  <c r="H101" i="8" s="1"/>
  <c r="H147" i="8" s="1"/>
  <c r="H98" i="7"/>
  <c r="H101" i="7" s="1"/>
  <c r="H147" i="7" s="1"/>
  <c r="H83" i="7"/>
  <c r="H85" i="7" s="1"/>
  <c r="H83" i="9"/>
  <c r="H85" i="9" s="1"/>
  <c r="H18" i="9"/>
  <c r="H152" i="9"/>
  <c r="H98" i="9"/>
  <c r="H101" i="9" s="1"/>
  <c r="H147" i="9" s="1"/>
  <c r="H228" i="9"/>
  <c r="H190" i="8"/>
  <c r="H18" i="7"/>
  <c r="H190" i="7"/>
  <c r="H41" i="2"/>
  <c r="H250" i="2"/>
  <c r="H206" i="2"/>
  <c r="H167" i="2"/>
  <c r="H165" i="2"/>
  <c r="H143" i="2"/>
  <c r="H152" i="2" s="1"/>
  <c r="H79" i="2"/>
  <c r="H68" i="2"/>
  <c r="H252" i="2" s="1"/>
  <c r="H67" i="2"/>
  <c r="H227" i="2" s="1"/>
  <c r="H57" i="2"/>
  <c r="H205" i="2" s="1"/>
  <c r="H66" i="2"/>
  <c r="H96" i="2" s="1"/>
  <c r="H64" i="2"/>
  <c r="H251" i="2" s="1"/>
  <c r="H249" i="2"/>
  <c r="H61" i="2"/>
  <c r="H248" i="2" s="1"/>
  <c r="H190" i="2"/>
  <c r="H55" i="2"/>
  <c r="H189" i="2" s="1"/>
  <c r="H188" i="2"/>
  <c r="H53" i="2"/>
  <c r="H187" i="2" s="1"/>
  <c r="H210" i="2" s="1"/>
  <c r="H45" i="2"/>
  <c r="H140" i="2" s="1"/>
  <c r="H42" i="2"/>
  <c r="H116" i="2" s="1"/>
  <c r="H40" i="2"/>
  <c r="H105" i="2" s="1"/>
  <c r="I37" i="2"/>
  <c r="H31" i="2"/>
  <c r="H97" i="2" s="1"/>
  <c r="H30" i="2"/>
  <c r="H95" i="2" s="1"/>
  <c r="H27" i="2"/>
  <c r="H166" i="2" s="1"/>
  <c r="H115" i="2"/>
  <c r="H16" i="2"/>
  <c r="H114" i="2" s="1"/>
  <c r="H15" i="2"/>
  <c r="D280" i="11" l="1"/>
  <c r="H80" i="2"/>
  <c r="H117" i="2" s="1"/>
  <c r="H83" i="2"/>
  <c r="H85" i="2" s="1"/>
  <c r="H82" i="2"/>
  <c r="H18" i="2"/>
  <c r="H98" i="2"/>
  <c r="H101" i="2" s="1"/>
  <c r="H147" i="2" s="1"/>
  <c r="H228" i="2"/>
  <c r="H154" i="2"/>
  <c r="H75" i="2"/>
  <c r="H90" i="2" l="1"/>
  <c r="H109" i="2" s="1"/>
  <c r="H129" i="2" s="1"/>
  <c r="H201" i="2" s="1"/>
  <c r="H84" i="2"/>
  <c r="H86" i="2" s="1"/>
  <c r="H107" i="2" s="1"/>
  <c r="H108" i="2" s="1"/>
  <c r="H145" i="2" s="1"/>
  <c r="H146" i="2" s="1"/>
  <c r="H118" i="2"/>
  <c r="H155" i="2"/>
  <c r="H127" i="2" l="1"/>
  <c r="H121" i="2"/>
  <c r="H110" i="2"/>
  <c r="H157" i="2"/>
  <c r="H159" i="2" s="1"/>
  <c r="H161" i="2" s="1"/>
  <c r="H162" i="2" s="1"/>
  <c r="H150" i="2"/>
  <c r="H151" i="2" s="1"/>
  <c r="H119" i="2" l="1"/>
  <c r="H120" i="2" s="1"/>
  <c r="H130" i="2"/>
  <c r="E266" i="2" s="1"/>
  <c r="H128" i="2"/>
  <c r="C266" i="2" s="1"/>
  <c r="H169" i="2"/>
  <c r="H170" i="2" s="1"/>
  <c r="H122" i="2" l="1"/>
  <c r="H131" i="2"/>
  <c r="H174" i="2"/>
  <c r="H172" i="2"/>
  <c r="C267" i="2" s="1"/>
  <c r="H193" i="2" l="1"/>
  <c r="H194" i="2"/>
  <c r="H209" i="2" s="1"/>
  <c r="H196" i="2"/>
  <c r="H199" i="2" s="1"/>
  <c r="H134" i="2"/>
  <c r="H135" i="2" s="1"/>
  <c r="H132" i="2"/>
  <c r="H133" i="2" s="1"/>
  <c r="D266" i="2" s="1"/>
  <c r="H176" i="2"/>
  <c r="H177" i="2" s="1"/>
  <c r="H202" i="2"/>
  <c r="H222" i="2" s="1"/>
  <c r="H180" i="2"/>
  <c r="H178" i="2" l="1"/>
  <c r="H197" i="2"/>
  <c r="E267" i="2"/>
  <c r="H182" i="2"/>
  <c r="H218" i="2"/>
  <c r="H207" i="2" l="1"/>
  <c r="H208" i="2" s="1"/>
  <c r="H183" i="2"/>
  <c r="H184" i="2" s="1"/>
  <c r="D267" i="2" s="1"/>
  <c r="H219" i="2"/>
  <c r="H211" i="2" l="1"/>
  <c r="H212" i="2" s="1"/>
  <c r="H213" i="2" s="1"/>
  <c r="H214" i="2" s="1"/>
  <c r="H223" i="2" s="1"/>
  <c r="H224" i="2" s="1"/>
  <c r="H234" i="2"/>
  <c r="H235" i="2" s="1"/>
  <c r="H238" i="2" s="1"/>
  <c r="H244" i="2" l="1"/>
  <c r="E268" i="2" s="1"/>
  <c r="H236" i="2"/>
  <c r="H255" i="2" l="1"/>
  <c r="H239" i="2"/>
  <c r="C268" i="2"/>
  <c r="H242" i="2"/>
  <c r="H243" i="2" s="1"/>
  <c r="D268" i="2" s="1"/>
  <c r="H256" i="2" l="1"/>
  <c r="H259" i="2" s="1"/>
  <c r="H261" i="2"/>
  <c r="E269" i="2" s="1"/>
  <c r="E270" i="2" l="1"/>
  <c r="H79" i="7" s="1"/>
  <c r="C269" i="2"/>
  <c r="H260" i="2"/>
  <c r="D269" i="2" s="1"/>
  <c r="D270" i="2" l="1"/>
  <c r="H74" i="7" s="1"/>
  <c r="C270" i="2"/>
  <c r="H11" i="7" s="1"/>
  <c r="H12" i="7" s="1"/>
  <c r="H139" i="7" l="1"/>
  <c r="H75" i="7"/>
  <c r="H82" i="7" l="1"/>
  <c r="H80" i="7"/>
  <c r="H154" i="7"/>
  <c r="H155" i="7"/>
  <c r="H117" i="7" l="1"/>
  <c r="H90" i="7"/>
  <c r="H118" i="7"/>
  <c r="H84" i="7"/>
  <c r="H86" i="7" s="1"/>
  <c r="H107" i="7" s="1"/>
  <c r="H108" i="7" s="1"/>
  <c r="H145" i="7" s="1"/>
  <c r="H146" i="7" s="1"/>
  <c r="H150" i="7" l="1"/>
  <c r="H151" i="7" s="1"/>
  <c r="H157" i="7"/>
  <c r="H159" i="7" s="1"/>
  <c r="H161" i="7" s="1"/>
  <c r="H109" i="7"/>
  <c r="H121" i="7" s="1"/>
  <c r="H110" i="7" l="1"/>
  <c r="H119" i="7" s="1"/>
  <c r="H120" i="7" s="1"/>
  <c r="H122" i="7" s="1"/>
  <c r="H162" i="7"/>
  <c r="H169" i="7"/>
  <c r="H129" i="7"/>
  <c r="H174" i="7" l="1"/>
  <c r="H193" i="7" s="1"/>
  <c r="H170" i="7"/>
  <c r="H176" i="7" s="1"/>
  <c r="H177" i="7" s="1"/>
  <c r="H178" i="7" s="1"/>
  <c r="H127" i="7"/>
  <c r="H128" i="7" s="1"/>
  <c r="C267" i="7" s="1"/>
  <c r="H201" i="7"/>
  <c r="H130" i="7"/>
  <c r="H172" i="7" l="1"/>
  <c r="C268" i="7" s="1"/>
  <c r="F268" i="7" s="1"/>
  <c r="H194" i="7"/>
  <c r="H209" i="7" s="1"/>
  <c r="H196" i="7"/>
  <c r="H218" i="7" s="1"/>
  <c r="H134" i="7"/>
  <c r="H135" i="7" s="1"/>
  <c r="H207" i="7" s="1"/>
  <c r="H131" i="7"/>
  <c r="H132" i="7" s="1"/>
  <c r="H133" i="7" s="1"/>
  <c r="D267" i="7" s="1"/>
  <c r="E267" i="7"/>
  <c r="H267" i="7" s="1"/>
  <c r="F267" i="7"/>
  <c r="H202" i="7"/>
  <c r="H222" i="7" s="1"/>
  <c r="H180" i="7"/>
  <c r="H208" i="7" l="1"/>
  <c r="H211" i="7" s="1"/>
  <c r="H212" i="7" s="1"/>
  <c r="H213" i="7" s="1"/>
  <c r="H214" i="7" s="1"/>
  <c r="H223" i="7" s="1"/>
  <c r="H224" i="7" s="1"/>
  <c r="H197" i="7"/>
  <c r="H199" i="7"/>
  <c r="H219" i="7" s="1"/>
  <c r="E268" i="7"/>
  <c r="H268" i="7" s="1"/>
  <c r="H182" i="7"/>
  <c r="H183" i="7" s="1"/>
  <c r="H184" i="7" s="1"/>
  <c r="D268" i="7" s="1"/>
  <c r="G268" i="7" s="1"/>
  <c r="G267" i="7"/>
  <c r="H234" i="7" l="1"/>
  <c r="H235" i="7" s="1"/>
  <c r="H244" i="7" s="1"/>
  <c r="E269" i="7" s="1"/>
  <c r="H269" i="7" s="1"/>
  <c r="H236" i="7" l="1"/>
  <c r="H239" i="7" s="1"/>
  <c r="H238" i="7"/>
  <c r="C269" i="7" s="1"/>
  <c r="F269" i="7" s="1"/>
  <c r="H255" i="7" l="1"/>
  <c r="H256" i="7" s="1"/>
  <c r="H259" i="7" s="1"/>
  <c r="H260" i="7" s="1"/>
  <c r="D270" i="7" s="1"/>
  <c r="H242" i="7"/>
  <c r="H243" i="7" s="1"/>
  <c r="D269" i="7" s="1"/>
  <c r="G269" i="7" s="1"/>
  <c r="C270" i="7" l="1"/>
  <c r="C271" i="7" s="1"/>
  <c r="H11" i="8" s="1"/>
  <c r="H12" i="8" s="1"/>
  <c r="H261" i="7"/>
  <c r="E270" i="7" s="1"/>
  <c r="E271" i="7" s="1"/>
  <c r="H79" i="8" s="1"/>
  <c r="G270" i="7"/>
  <c r="G271" i="7" s="1"/>
  <c r="D271" i="7"/>
  <c r="H74" i="8" s="1"/>
  <c r="H270" i="7" l="1"/>
  <c r="H271" i="7" s="1"/>
  <c r="H272" i="7" s="1"/>
  <c r="F270" i="7"/>
  <c r="F271" i="7" s="1"/>
  <c r="F272" i="7" s="1"/>
  <c r="G272" i="7"/>
  <c r="H139" i="8"/>
  <c r="H75" i="8"/>
  <c r="H154" i="8" l="1"/>
  <c r="H155" i="8"/>
  <c r="H80" i="8"/>
  <c r="H82" i="8"/>
  <c r="H118" i="8" l="1"/>
  <c r="H84" i="8"/>
  <c r="H86" i="8" s="1"/>
  <c r="H107" i="8" s="1"/>
  <c r="H108" i="8" s="1"/>
  <c r="H145" i="8" s="1"/>
  <c r="H146" i="8" s="1"/>
  <c r="H117" i="8"/>
  <c r="H90" i="8"/>
  <c r="H109" i="8" s="1"/>
  <c r="H110" i="8" l="1"/>
  <c r="H129" i="8"/>
  <c r="H121" i="8"/>
  <c r="H157" i="8"/>
  <c r="H159" i="8" s="1"/>
  <c r="H161" i="8" s="1"/>
  <c r="H150" i="8"/>
  <c r="H151" i="8" s="1"/>
  <c r="H169" i="8" l="1"/>
  <c r="H162" i="8"/>
  <c r="H201" i="8"/>
  <c r="H127" i="8"/>
  <c r="H128" i="8" s="1"/>
  <c r="C267" i="8" s="1"/>
  <c r="H119" i="8"/>
  <c r="H120" i="8" s="1"/>
  <c r="H122" i="8" s="1"/>
  <c r="H130" i="8"/>
  <c r="H134" i="8" l="1"/>
  <c r="H135" i="8" s="1"/>
  <c r="F267" i="8"/>
  <c r="H131" i="8"/>
  <c r="H132" i="8" s="1"/>
  <c r="H133" i="8" s="1"/>
  <c r="D267" i="8" s="1"/>
  <c r="E267" i="8"/>
  <c r="H174" i="8"/>
  <c r="H170" i="8"/>
  <c r="H176" i="8" s="1"/>
  <c r="H177" i="8" s="1"/>
  <c r="H178" i="8" s="1"/>
  <c r="H207" i="8" l="1"/>
  <c r="H208" i="8" s="1"/>
  <c r="H211" i="8" s="1"/>
  <c r="H212" i="8" s="1"/>
  <c r="H213" i="8" s="1"/>
  <c r="H214" i="8" s="1"/>
  <c r="H223" i="8" s="1"/>
  <c r="H196" i="8"/>
  <c r="H202" i="8"/>
  <c r="H222" i="8" s="1"/>
  <c r="H180" i="8"/>
  <c r="H193" i="8"/>
  <c r="H194" i="8"/>
  <c r="H209" i="8" s="1"/>
  <c r="H172" i="8"/>
  <c r="C268" i="8" s="1"/>
  <c r="H267" i="8"/>
  <c r="G267" i="8"/>
  <c r="H218" i="8" l="1"/>
  <c r="H224" i="8"/>
  <c r="F268" i="8"/>
  <c r="H182" i="8"/>
  <c r="H183" i="8" s="1"/>
  <c r="H184" i="8" s="1"/>
  <c r="D268" i="8" s="1"/>
  <c r="E268" i="8"/>
  <c r="H199" i="8"/>
  <c r="H197" i="8"/>
  <c r="H219" i="8" l="1"/>
  <c r="H234" i="8" s="1"/>
  <c r="H235" i="8" s="1"/>
  <c r="H268" i="8"/>
  <c r="G268" i="8"/>
  <c r="H244" i="8" l="1"/>
  <c r="E269" i="8" s="1"/>
  <c r="H238" i="8"/>
  <c r="H236" i="8"/>
  <c r="H255" i="8" l="1"/>
  <c r="H256" i="8" s="1"/>
  <c r="H239" i="8"/>
  <c r="C269" i="8"/>
  <c r="H242" i="8"/>
  <c r="H243" i="8" s="1"/>
  <c r="D269" i="8" s="1"/>
  <c r="H269" i="8"/>
  <c r="H259" i="8" l="1"/>
  <c r="H260" i="8" s="1"/>
  <c r="D270" i="8" s="1"/>
  <c r="G270" i="8" s="1"/>
  <c r="G269" i="8"/>
  <c r="F269" i="8"/>
  <c r="H261" i="8"/>
  <c r="E270" i="8" s="1"/>
  <c r="C270" i="8" l="1"/>
  <c r="F270" i="8" s="1"/>
  <c r="F271" i="8" s="1"/>
  <c r="D271" i="8"/>
  <c r="H74" i="9" s="1"/>
  <c r="G271" i="8"/>
  <c r="H270" i="8"/>
  <c r="H271" i="8" s="1"/>
  <c r="E271" i="8"/>
  <c r="C271" i="8" l="1"/>
  <c r="H11" i="9" s="1"/>
  <c r="G272" i="8"/>
  <c r="H272" i="8"/>
  <c r="H79" i="9"/>
  <c r="H12" i="9" l="1"/>
  <c r="H139" i="9" s="1"/>
  <c r="H155" i="9" s="1"/>
  <c r="E286" i="9" s="1"/>
  <c r="F272" i="8"/>
  <c r="C281" i="9" l="1"/>
  <c r="H75" i="9"/>
  <c r="H154" i="9"/>
  <c r="D286" i="9" s="1"/>
  <c r="D279" i="9"/>
  <c r="E279" i="9" l="1"/>
  <c r="H80" i="9"/>
  <c r="H82" i="9"/>
  <c r="E280" i="9" l="1"/>
  <c r="H84" i="9"/>
  <c r="H118" i="9"/>
  <c r="H117" i="9"/>
  <c r="H90" i="9"/>
  <c r="E281" i="9"/>
  <c r="H109" i="9" l="1"/>
  <c r="H110" i="9" s="1"/>
  <c r="C280" i="9"/>
  <c r="H86" i="9"/>
  <c r="D281" i="9" l="1"/>
  <c r="H107" i="9"/>
  <c r="D280" i="9"/>
  <c r="H119" i="9"/>
  <c r="H120" i="9" s="1"/>
  <c r="H122" i="9" s="1"/>
  <c r="H121" i="9"/>
  <c r="H129" i="9"/>
  <c r="E282" i="9"/>
  <c r="E285" i="9" s="1"/>
  <c r="C282" i="9" l="1"/>
  <c r="C285" i="9" s="1"/>
  <c r="H108" i="9"/>
  <c r="H145" i="9" s="1"/>
  <c r="H146" i="9" s="1"/>
  <c r="D282" i="9"/>
  <c r="D285" i="9" s="1"/>
  <c r="H127" i="9"/>
  <c r="C283" i="9" s="1"/>
  <c r="H201" i="9"/>
  <c r="E283" i="9"/>
  <c r="H134" i="9"/>
  <c r="H135" i="9" s="1"/>
  <c r="D283" i="9" s="1"/>
  <c r="H130" i="9"/>
  <c r="H128" i="9" l="1"/>
  <c r="H157" i="9"/>
  <c r="H159" i="9" s="1"/>
  <c r="H161" i="9" s="1"/>
  <c r="H150" i="9"/>
  <c r="H151" i="9" s="1"/>
  <c r="E284" i="9"/>
  <c r="E269" i="9"/>
  <c r="H269" i="9" s="1"/>
  <c r="E288" i="9" l="1"/>
  <c r="H169" i="9"/>
  <c r="H162" i="9"/>
  <c r="C288" i="9" s="1"/>
  <c r="C286" i="9" s="1"/>
  <c r="C287" i="9" s="1"/>
  <c r="H131" i="9"/>
  <c r="H132" i="9" s="1"/>
  <c r="H133" i="9" s="1"/>
  <c r="C269" i="9"/>
  <c r="F269" i="9" s="1"/>
  <c r="C284" i="9"/>
  <c r="E289" i="9" l="1"/>
  <c r="E291" i="9" s="1"/>
  <c r="H170" i="9"/>
  <c r="H176" i="9" s="1"/>
  <c r="H177" i="9" s="1"/>
  <c r="H178" i="9" s="1"/>
  <c r="H174" i="9"/>
  <c r="D269" i="9"/>
  <c r="G269" i="9" s="1"/>
  <c r="D284" i="9"/>
  <c r="E287" i="9"/>
  <c r="D287" i="9"/>
  <c r="H207" i="9" l="1"/>
  <c r="H208" i="9" s="1"/>
  <c r="H211" i="9" s="1"/>
  <c r="H212" i="9" s="1"/>
  <c r="H213" i="9" s="1"/>
  <c r="H214" i="9" s="1"/>
  <c r="H223" i="9" s="1"/>
  <c r="D289" i="9"/>
  <c r="D291" i="9" s="1"/>
  <c r="H194" i="9"/>
  <c r="H209" i="9" s="1"/>
  <c r="H196" i="9"/>
  <c r="H193" i="9"/>
  <c r="H218" i="9" s="1"/>
  <c r="H202" i="9"/>
  <c r="H222" i="9" s="1"/>
  <c r="H180" i="9"/>
  <c r="H172" i="9"/>
  <c r="C289" i="9"/>
  <c r="C291" i="9" s="1"/>
  <c r="H224" i="9" l="1"/>
  <c r="E290" i="9"/>
  <c r="E270" i="9"/>
  <c r="H270" i="9" s="1"/>
  <c r="H182" i="9"/>
  <c r="H183" i="9" s="1"/>
  <c r="H184" i="9" s="1"/>
  <c r="C290" i="9"/>
  <c r="C270" i="9"/>
  <c r="F270" i="9" s="1"/>
  <c r="H199" i="9"/>
  <c r="H219" i="9" s="1"/>
  <c r="H197" i="9"/>
  <c r="C292" i="9"/>
  <c r="H234" i="9" l="1"/>
  <c r="H235" i="9" s="1"/>
  <c r="H236" i="9" s="1"/>
  <c r="H238" i="9"/>
  <c r="C293" i="9" s="1"/>
  <c r="H244" i="9"/>
  <c r="E271" i="9" s="1"/>
  <c r="H271" i="9" s="1"/>
  <c r="D290" i="9"/>
  <c r="D288" i="9" s="1"/>
  <c r="D270" i="9"/>
  <c r="G270" i="9" s="1"/>
  <c r="E293" i="9"/>
  <c r="C271" i="9" l="1"/>
  <c r="F271" i="9" s="1"/>
  <c r="H242" i="9"/>
  <c r="H243" i="9" s="1"/>
  <c r="D271" i="9" s="1"/>
  <c r="G271" i="9" s="1"/>
  <c r="H255" i="9"/>
  <c r="H239" i="9"/>
  <c r="H263" i="9"/>
  <c r="D293" i="9" l="1"/>
  <c r="E272" i="9"/>
  <c r="E296" i="9"/>
  <c r="C294" i="9"/>
  <c r="H256" i="9"/>
  <c r="C295" i="9" s="1"/>
  <c r="E295" i="9"/>
  <c r="H257" i="9"/>
  <c r="H258" i="9" s="1"/>
  <c r="D295" i="9" s="1"/>
  <c r="H261" i="9" l="1"/>
  <c r="E294" i="9"/>
  <c r="H272" i="9"/>
  <c r="H273" i="9" s="1"/>
  <c r="E273" i="9"/>
  <c r="C272" i="9" l="1"/>
  <c r="C296" i="9"/>
  <c r="H262" i="9"/>
  <c r="H79" i="10"/>
  <c r="H79" i="11" s="1"/>
  <c r="H80" i="11" s="1"/>
  <c r="E297" i="9"/>
  <c r="H274" i="9"/>
  <c r="H90" i="11" l="1"/>
  <c r="H117" i="11"/>
  <c r="E281" i="11"/>
  <c r="D272" i="9"/>
  <c r="D296" i="9"/>
  <c r="D294" i="9" s="1"/>
  <c r="C273" i="9"/>
  <c r="F272" i="9"/>
  <c r="F273" i="9" s="1"/>
  <c r="F274" i="9" s="1"/>
  <c r="H109" i="11" l="1"/>
  <c r="H110" i="11"/>
  <c r="C297" i="9"/>
  <c r="H11" i="10"/>
  <c r="H12" i="10" s="1"/>
  <c r="G272" i="9"/>
  <c r="G273" i="9" s="1"/>
  <c r="D273" i="9"/>
  <c r="H119" i="11" l="1"/>
  <c r="H120" i="11" s="1"/>
  <c r="H122" i="11" s="1"/>
  <c r="H129" i="11"/>
  <c r="H130" i="11" s="1"/>
  <c r="E282" i="11"/>
  <c r="E285" i="11" s="1"/>
  <c r="H121" i="11"/>
  <c r="D297" i="9"/>
  <c r="H74" i="10"/>
  <c r="H74" i="11" s="1"/>
  <c r="H75" i="11" s="1"/>
  <c r="H139" i="10"/>
  <c r="C281" i="10"/>
  <c r="G274" i="9"/>
  <c r="E284" i="11" l="1"/>
  <c r="E269" i="11"/>
  <c r="H131" i="11"/>
  <c r="H132" i="11" s="1"/>
  <c r="H133" i="11" s="1"/>
  <c r="C282" i="11"/>
  <c r="H128" i="11"/>
  <c r="H107" i="11"/>
  <c r="D282" i="11" s="1"/>
  <c r="D281" i="11"/>
  <c r="H108" i="11"/>
  <c r="H145" i="11" s="1"/>
  <c r="E283" i="11"/>
  <c r="H127" i="11"/>
  <c r="C283" i="11" s="1"/>
  <c r="H201" i="11"/>
  <c r="H134" i="11"/>
  <c r="H135" i="11" s="1"/>
  <c r="D283" i="11" s="1"/>
  <c r="H82" i="10"/>
  <c r="H80" i="10"/>
  <c r="E279" i="10"/>
  <c r="H75" i="10"/>
  <c r="D279" i="10"/>
  <c r="H155" i="10"/>
  <c r="E286" i="10" s="1"/>
  <c r="H154" i="10"/>
  <c r="D286" i="10" s="1"/>
  <c r="C269" i="11" l="1"/>
  <c r="C284" i="11"/>
  <c r="D285" i="11"/>
  <c r="D269" i="11"/>
  <c r="D284" i="11"/>
  <c r="H90" i="10"/>
  <c r="H109" i="10" s="1"/>
  <c r="E281" i="10"/>
  <c r="H117" i="10"/>
  <c r="H118" i="10"/>
  <c r="H84" i="10"/>
  <c r="E280" i="10"/>
  <c r="H86" i="10" l="1"/>
  <c r="C280" i="10"/>
  <c r="H110" i="10"/>
  <c r="E282" i="10"/>
  <c r="E285" i="10" s="1"/>
  <c r="H129" i="10"/>
  <c r="H121" i="10"/>
  <c r="C282" i="10" s="1"/>
  <c r="C285" i="10" s="1"/>
  <c r="E283" i="10" l="1"/>
  <c r="H201" i="10"/>
  <c r="H127" i="10"/>
  <c r="H119" i="10"/>
  <c r="H120" i="10" s="1"/>
  <c r="H122" i="10" s="1"/>
  <c r="H130" i="10"/>
  <c r="H128" i="10"/>
  <c r="D280" i="10"/>
  <c r="D281" i="10"/>
  <c r="H107" i="10"/>
  <c r="H131" i="10" l="1"/>
  <c r="H132" i="10" s="1"/>
  <c r="H133" i="10" s="1"/>
  <c r="C284" i="10"/>
  <c r="C269" i="10"/>
  <c r="E269" i="10"/>
  <c r="E284" i="10"/>
  <c r="C283" i="10"/>
  <c r="H134" i="10"/>
  <c r="H135" i="10" s="1"/>
  <c r="D283" i="10" s="1"/>
  <c r="D282" i="10"/>
  <c r="D285" i="10" s="1"/>
  <c r="H108" i="10"/>
  <c r="H145" i="10" s="1"/>
  <c r="H146" i="10" s="1"/>
  <c r="H269" i="10" l="1"/>
  <c r="H269" i="11"/>
  <c r="F269" i="10"/>
  <c r="F269" i="11"/>
  <c r="D284" i="10"/>
  <c r="D269" i="10"/>
  <c r="H157" i="10"/>
  <c r="H159" i="10" s="1"/>
  <c r="H161" i="10" s="1"/>
  <c r="H150" i="10"/>
  <c r="H151" i="10" s="1"/>
  <c r="G269" i="10" l="1"/>
  <c r="G269" i="11"/>
  <c r="E288" i="10"/>
  <c r="H162" i="10"/>
  <c r="H169" i="10"/>
  <c r="E289" i="10" l="1"/>
  <c r="E291" i="10" s="1"/>
  <c r="H174" i="10"/>
  <c r="H170" i="10"/>
  <c r="C289" i="10" s="1"/>
  <c r="C291" i="10" s="1"/>
  <c r="C288" i="10"/>
  <c r="C286" i="10" s="1"/>
  <c r="C287" i="10" s="1"/>
  <c r="H172" i="10"/>
  <c r="H176" i="10" l="1"/>
  <c r="H177" i="10" s="1"/>
  <c r="H178" i="10" s="1"/>
  <c r="C270" i="10"/>
  <c r="F270" i="10" s="1"/>
  <c r="C290" i="10"/>
  <c r="E287" i="10"/>
  <c r="D287" i="10"/>
  <c r="D289" i="10"/>
  <c r="D291" i="10" s="1"/>
  <c r="H207" i="10"/>
  <c r="H208" i="10" s="1"/>
  <c r="H211" i="10" s="1"/>
  <c r="H212" i="10" s="1"/>
  <c r="H213" i="10" s="1"/>
  <c r="H214" i="10" s="1"/>
  <c r="H223" i="10" s="1"/>
  <c r="C292" i="10" s="1"/>
  <c r="H193" i="10"/>
  <c r="H196" i="10"/>
  <c r="H180" i="10"/>
  <c r="H194" i="10"/>
  <c r="H209" i="10" s="1"/>
  <c r="H202" i="10"/>
  <c r="H222" i="10" s="1"/>
  <c r="H199" i="10" l="1"/>
  <c r="H197" i="10"/>
  <c r="H218" i="10"/>
  <c r="H219" i="10" s="1"/>
  <c r="H224" i="10"/>
  <c r="H234" i="10" s="1"/>
  <c r="H235" i="10" s="1"/>
  <c r="H238" i="10" s="1"/>
  <c r="C293" i="10" s="1"/>
  <c r="E290" i="10"/>
  <c r="E270" i="10"/>
  <c r="H270" i="10" s="1"/>
  <c r="H182" i="10"/>
  <c r="H183" i="10" s="1"/>
  <c r="H184" i="10" s="1"/>
  <c r="H236" i="10"/>
  <c r="H255" i="10" s="1"/>
  <c r="H263" i="10" s="1"/>
  <c r="D270" i="10" l="1"/>
  <c r="G270" i="10" s="1"/>
  <c r="D290" i="10"/>
  <c r="D288" i="10" s="1"/>
  <c r="H242" i="10"/>
  <c r="H243" i="10" s="1"/>
  <c r="D271" i="10" s="1"/>
  <c r="C271" i="10"/>
  <c r="H244" i="10"/>
  <c r="E293" i="10" s="1"/>
  <c r="H239" i="10"/>
  <c r="C294" i="10" s="1"/>
  <c r="E271" i="10"/>
  <c r="H271" i="10" s="1"/>
  <c r="F271" i="10"/>
  <c r="E296" i="10"/>
  <c r="E272" i="10"/>
  <c r="H272" i="10" s="1"/>
  <c r="K255" i="10"/>
  <c r="H256" i="10"/>
  <c r="C295" i="10" s="1"/>
  <c r="E295" i="10"/>
  <c r="D293" i="10" l="1"/>
  <c r="H273" i="10"/>
  <c r="E294" i="10"/>
  <c r="H257" i="10"/>
  <c r="H258" i="10" s="1"/>
  <c r="D295" i="10" s="1"/>
  <c r="E273" i="10"/>
  <c r="E297" i="10" s="1"/>
  <c r="G271" i="10"/>
  <c r="H261" i="10"/>
  <c r="C296" i="10" l="1"/>
  <c r="C272" i="10"/>
  <c r="H262" i="10"/>
  <c r="H274" i="10"/>
  <c r="D272" i="10" l="1"/>
  <c r="D296" i="10"/>
  <c r="D294" i="10" s="1"/>
  <c r="F272" i="10"/>
  <c r="F273" i="10" s="1"/>
  <c r="C273" i="10"/>
  <c r="C297" i="10" l="1"/>
  <c r="H11" i="11"/>
  <c r="H12" i="11" s="1"/>
  <c r="F274" i="10"/>
  <c r="G272" i="10"/>
  <c r="G273" i="10" s="1"/>
  <c r="D273" i="10"/>
  <c r="D297" i="10" s="1"/>
  <c r="C281" i="11" l="1"/>
  <c r="C285" i="11" s="1"/>
  <c r="H139" i="11"/>
  <c r="G274" i="10"/>
  <c r="H155" i="11" l="1"/>
  <c r="E286" i="11" s="1"/>
  <c r="H154" i="11"/>
  <c r="D286" i="11" s="1"/>
  <c r="H146" i="11"/>
  <c r="H157" i="11" s="1"/>
  <c r="H159" i="11" s="1"/>
  <c r="H161" i="11" s="1"/>
  <c r="E288" i="11" l="1"/>
  <c r="H162" i="11"/>
  <c r="H169" i="11"/>
  <c r="H150" i="11"/>
  <c r="H151" i="11" s="1"/>
  <c r="C288" i="11" l="1"/>
  <c r="C286" i="11" s="1"/>
  <c r="C287" i="11" s="1"/>
  <c r="H174" i="11"/>
  <c r="H170" i="11"/>
  <c r="C289" i="11" s="1"/>
  <c r="C291" i="11" s="1"/>
  <c r="E289" i="11"/>
  <c r="E291" i="11" s="1"/>
  <c r="H176" i="11"/>
  <c r="H177" i="11" s="1"/>
  <c r="H178" i="11" s="1"/>
  <c r="H172" i="11" l="1"/>
  <c r="D289" i="11"/>
  <c r="H207" i="11"/>
  <c r="H202" i="11"/>
  <c r="H222" i="11" s="1"/>
  <c r="H196" i="11"/>
  <c r="H193" i="11"/>
  <c r="H218" i="11" s="1"/>
  <c r="H194" i="11"/>
  <c r="H209" i="11" s="1"/>
  <c r="H180" i="11"/>
  <c r="E287" i="11"/>
  <c r="D287" i="11"/>
  <c r="E290" i="11" l="1"/>
  <c r="H182" i="11"/>
  <c r="H183" i="11" s="1"/>
  <c r="H184" i="11" s="1"/>
  <c r="E270" i="11"/>
  <c r="D291" i="11"/>
  <c r="H199" i="11"/>
  <c r="H219" i="11" s="1"/>
  <c r="H197" i="11"/>
  <c r="H208" i="11"/>
  <c r="H211" i="11"/>
  <c r="H212" i="11" s="1"/>
  <c r="H213" i="11" s="1"/>
  <c r="H214" i="11" s="1"/>
  <c r="H223" i="11" s="1"/>
  <c r="C292" i="11" s="1"/>
  <c r="C270" i="11"/>
  <c r="C290" i="11"/>
  <c r="F270" i="11" l="1"/>
  <c r="H224" i="11"/>
  <c r="H234" i="11" s="1"/>
  <c r="H235" i="11" s="1"/>
  <c r="D270" i="11"/>
  <c r="D290" i="11"/>
  <c r="D288" i="11" s="1"/>
  <c r="H270" i="11"/>
  <c r="G270" i="11" l="1"/>
  <c r="H238" i="11"/>
  <c r="H244" i="11"/>
  <c r="H236" i="11"/>
  <c r="E271" i="11" l="1"/>
  <c r="E293" i="11"/>
  <c r="H239" i="11"/>
  <c r="H255" i="11"/>
  <c r="H263" i="11"/>
  <c r="C271" i="11"/>
  <c r="H242" i="11"/>
  <c r="H243" i="11" s="1"/>
  <c r="C293" i="11"/>
  <c r="D271" i="11" l="1"/>
  <c r="D293" i="11"/>
  <c r="E296" i="11"/>
  <c r="E272" i="11"/>
  <c r="H272" i="11" s="1"/>
  <c r="F271" i="11"/>
  <c r="E295" i="11"/>
  <c r="H256" i="11"/>
  <c r="C295" i="11" s="1"/>
  <c r="K255" i="11"/>
  <c r="C294" i="11"/>
  <c r="H271" i="11"/>
  <c r="H273" i="11" s="1"/>
  <c r="H274" i="11" s="1"/>
  <c r="E273" i="11"/>
  <c r="E297" i="11" s="1"/>
  <c r="H257" i="11" l="1"/>
  <c r="H258" i="11" s="1"/>
  <c r="D295" i="11" s="1"/>
  <c r="H261" i="11"/>
  <c r="E294" i="11"/>
  <c r="G271" i="11"/>
  <c r="H262" i="11" l="1"/>
  <c r="C296" i="11"/>
  <c r="C272" i="11"/>
  <c r="F272" i="11" l="1"/>
  <c r="F273" i="11" s="1"/>
  <c r="C273" i="11"/>
  <c r="C297" i="11" s="1"/>
  <c r="D296" i="11"/>
  <c r="D294" i="11" s="1"/>
  <c r="D272" i="11"/>
  <c r="G272" i="11" l="1"/>
  <c r="G273" i="11" s="1"/>
  <c r="D273" i="11"/>
  <c r="D297" i="11" s="1"/>
  <c r="F274" i="11"/>
  <c r="G274" i="11" l="1"/>
</calcChain>
</file>

<file path=xl/sharedStrings.xml><?xml version="1.0" encoding="utf-8"?>
<sst xmlns="http://schemas.openxmlformats.org/spreadsheetml/2006/main" count="3044" uniqueCount="318">
  <si>
    <t xml:space="preserve"> Definition of terms</t>
  </si>
  <si>
    <r>
      <t>BOD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 = </t>
    </r>
    <r>
      <rPr>
        <sz val="14"/>
        <color rgb="FF231F20"/>
        <rFont val="Times New Roman"/>
        <family val="1"/>
      </rPr>
      <t>biochemical oxygen demand expressed as a concentration, g/m</t>
    </r>
    <r>
      <rPr>
        <vertAlign val="superscript"/>
        <sz val="14"/>
        <color rgb="FF231F20"/>
        <rFont val="Times New Roman"/>
        <family val="1"/>
      </rPr>
      <t>3</t>
    </r>
  </si>
  <si>
    <r>
      <t>BOD</t>
    </r>
    <r>
      <rPr>
        <i/>
        <vertAlign val="subscript"/>
        <sz val="14"/>
        <color rgb="FF231F20"/>
        <rFont val="Times New Roman"/>
        <family val="1"/>
      </rPr>
      <t>M</t>
    </r>
    <r>
      <rPr>
        <i/>
        <sz val="14"/>
        <color rgb="FF231F20"/>
        <rFont val="Times New Roman"/>
        <family val="1"/>
      </rPr>
      <t xml:space="preserve"> =</t>
    </r>
    <r>
      <rPr>
        <sz val="14"/>
        <color rgb="FF231F20"/>
        <rFont val="Times New Roman"/>
        <family val="1"/>
      </rPr>
      <t xml:space="preserve"> biochemical oxygen demand expressed as a mass, kg/d</t>
    </r>
  </si>
  <si>
    <r>
      <t>TSS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=</t>
    </r>
    <r>
      <rPr>
        <sz val="14"/>
        <color rgb="FF231F20"/>
        <rFont val="Times New Roman"/>
        <family val="1"/>
      </rPr>
      <t xml:space="preserve"> total suspended solids expressed as a concentration, g/m</t>
    </r>
    <r>
      <rPr>
        <vertAlign val="superscript"/>
        <sz val="14"/>
        <color rgb="FF231F20"/>
        <rFont val="Times New Roman"/>
        <family val="1"/>
      </rPr>
      <t>3</t>
    </r>
  </si>
  <si>
    <r>
      <t>TSS</t>
    </r>
    <r>
      <rPr>
        <i/>
        <vertAlign val="subscript"/>
        <sz val="14"/>
        <color rgb="FF231F20"/>
        <rFont val="Times New Roman"/>
        <family val="1"/>
      </rPr>
      <t>M</t>
    </r>
    <r>
      <rPr>
        <i/>
        <sz val="14"/>
        <color rgb="FF231F20"/>
        <rFont val="Times New Roman"/>
        <family val="1"/>
      </rPr>
      <t xml:space="preserve"> =</t>
    </r>
    <r>
      <rPr>
        <sz val="14"/>
        <color rgb="FF231F20"/>
        <rFont val="Times New Roman"/>
        <family val="1"/>
      </rPr>
      <t xml:space="preserve"> total suspended solids expressed as a mass, kg/d</t>
    </r>
  </si>
  <si>
    <t xml:space="preserve"> Wastewater flowrates</t>
  </si>
  <si>
    <t>a.</t>
  </si>
  <si>
    <r>
      <t>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/d</t>
    </r>
  </si>
  <si>
    <t>b.</t>
  </si>
  <si>
    <r>
      <t>g/m</t>
    </r>
    <r>
      <rPr>
        <vertAlign val="superscript"/>
        <sz val="14"/>
        <color theme="1"/>
        <rFont val="Times New Roman"/>
        <family val="1"/>
      </rPr>
      <t>3</t>
    </r>
  </si>
  <si>
    <t>c.</t>
  </si>
  <si>
    <t xml:space="preserve"> Influent characteristics</t>
  </si>
  <si>
    <r>
      <t xml:space="preserve">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</si>
  <si>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 </t>
    </r>
  </si>
  <si>
    <r>
      <t>Assume ( VSS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>/TSS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) ratio in influent = </t>
    </r>
  </si>
  <si>
    <t>d.</t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</si>
  <si>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after grit removal = </t>
    </r>
  </si>
  <si>
    <t>e.</t>
  </si>
  <si>
    <t>Assume Volatile fraction of grit =</t>
  </si>
  <si>
    <t xml:space="preserve"> Sludge and biosolids characteristics</t>
  </si>
  <si>
    <t>Concentration of primary sludge =</t>
  </si>
  <si>
    <t xml:space="preserve">Concentration of thickened waste-activated sludge = </t>
  </si>
  <si>
    <t>(Assume solids capture in the flotation thickeners )=</t>
  </si>
  <si>
    <t>Total suspended solids in digested sludge =</t>
  </si>
  <si>
    <t>Special Gravity of Solids  =</t>
  </si>
  <si>
    <t>f.</t>
  </si>
  <si>
    <t xml:space="preserve"> Fraction of the biological solids that are biodegradable =</t>
  </si>
  <si>
    <t>g.</t>
  </si>
  <si>
    <r>
      <t>The value of BOD</t>
    </r>
    <r>
      <rPr>
        <i/>
        <vertAlign val="subscript"/>
        <sz val="14"/>
        <color rgb="FF231F20"/>
        <rFont val="Times New Roman"/>
        <family val="1"/>
      </rPr>
      <t xml:space="preserve">C </t>
    </r>
    <r>
      <rPr>
        <sz val="14"/>
        <color rgb="FF231F20"/>
        <rFont val="Times New Roman"/>
        <family val="1"/>
      </rPr>
      <t xml:space="preserve">can be obtained by multiplying the value of UBOD by a factor of </t>
    </r>
  </si>
  <si>
    <t>Effluent characteristics</t>
  </si>
  <si>
    <t>Primary clarifier</t>
  </si>
  <si>
    <t>Assumtions,</t>
  </si>
  <si>
    <t>BOD removal=</t>
  </si>
  <si>
    <t>TSS  removal =</t>
  </si>
  <si>
    <r>
      <t xml:space="preserve"> VSS</t>
    </r>
    <r>
      <rPr>
        <i/>
        <vertAlign val="subscript"/>
        <sz val="14"/>
        <color rgb="FF231F20"/>
        <rFont val="Times New Roman"/>
        <family val="1"/>
      </rPr>
      <t>C</t>
    </r>
    <r>
      <rPr>
        <sz val="14"/>
        <color rgb="FF231F20"/>
        <rFont val="Times New Roman"/>
        <family val="1"/>
      </rPr>
      <t>/ TSS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</t>
    </r>
    <r>
      <rPr>
        <sz val="14"/>
        <color rgb="FF231F20"/>
        <rFont val="Times New Roman"/>
        <family val="1"/>
      </rPr>
      <t>ratio in primary effluent going to the secondary treatment =</t>
    </r>
  </si>
  <si>
    <t xml:space="preserve"> Secondary treatment</t>
  </si>
  <si>
    <t>Assumption,</t>
  </si>
  <si>
    <r>
      <t>The mixed-liquor  VSS</t>
    </r>
    <r>
      <rPr>
        <vertAlign val="subscript"/>
        <sz val="14"/>
        <color rgb="FF231F20"/>
        <rFont val="Times New Roman"/>
        <family val="1"/>
      </rPr>
      <t>C</t>
    </r>
    <r>
      <rPr>
        <sz val="14"/>
        <color rgb="FF231F20"/>
        <rFont val="Times New Roman"/>
        <family val="1"/>
      </rPr>
      <t>/ TSS</t>
    </r>
    <r>
      <rPr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</t>
    </r>
    <r>
      <rPr>
        <sz val="14"/>
        <color rgb="FF231F20"/>
        <rFont val="Times New Roman"/>
        <family val="1"/>
      </rPr>
      <t>ratio =</t>
    </r>
  </si>
  <si>
    <r>
      <t xml:space="preserve"> Aeration tank volume, </t>
    </r>
    <r>
      <rPr>
        <i/>
        <sz val="14"/>
        <color rgb="FF231F20"/>
        <rFont val="Times New Roman"/>
        <family val="1"/>
      </rPr>
      <t>V</t>
    </r>
    <r>
      <rPr>
        <i/>
        <vertAlign val="subscript"/>
        <sz val="14"/>
        <color rgb="FF231F20"/>
        <rFont val="Times New Roman"/>
        <family val="1"/>
      </rPr>
      <t>r</t>
    </r>
    <r>
      <rPr>
        <i/>
        <sz val="14"/>
        <color rgb="FF231F20"/>
        <rFont val="Times New Roman"/>
        <family val="1"/>
      </rPr>
      <t xml:space="preserve"> =</t>
    </r>
    <r>
      <rPr>
        <sz val="14"/>
        <color rgb="FF231F20"/>
        <rFont val="Times New Roman"/>
        <family val="1"/>
      </rPr>
      <t xml:space="preserve"> </t>
    </r>
  </si>
  <si>
    <r>
      <t>m</t>
    </r>
    <r>
      <rPr>
        <vertAlign val="superscript"/>
        <sz val="14"/>
        <color theme="1"/>
        <rFont val="Times New Roman"/>
        <family val="1"/>
      </rPr>
      <t>3</t>
    </r>
  </si>
  <si>
    <t>Yeld Cofficient, Y =</t>
  </si>
  <si>
    <t>kg/kg</t>
  </si>
  <si>
    <t>Decay Co-efficient, b =</t>
  </si>
  <si>
    <r>
      <t>d</t>
    </r>
    <r>
      <rPr>
        <vertAlign val="superscript"/>
        <sz val="14"/>
        <color theme="1"/>
        <rFont val="Times New Roman"/>
        <family val="1"/>
      </rPr>
      <t>-1</t>
    </r>
  </si>
  <si>
    <t>Solids Retention Time, SRT =</t>
  </si>
  <si>
    <t>d</t>
  </si>
  <si>
    <t xml:space="preserve"> Sludge digestion</t>
  </si>
  <si>
    <t xml:space="preserve"> SRT =</t>
  </si>
  <si>
    <t>Volatile Solids Reduction, VSR =</t>
  </si>
  <si>
    <r>
      <t xml:space="preserve"> BOD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</t>
    </r>
    <r>
      <rPr>
        <sz val="14"/>
        <color rgb="FF231F20"/>
        <rFont val="Times New Roman"/>
        <family val="1"/>
      </rPr>
      <t>in digester supernatant =</t>
    </r>
  </si>
  <si>
    <r>
      <t xml:space="preserve"> TSS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</t>
    </r>
    <r>
      <rPr>
        <sz val="14"/>
        <color rgb="FF231F20"/>
        <rFont val="Times New Roman"/>
        <family val="1"/>
      </rPr>
      <t>in digested sludge =</t>
    </r>
  </si>
  <si>
    <t xml:space="preserve"> Sludge dewatering</t>
  </si>
  <si>
    <t>Assumptions,</t>
  </si>
  <si>
    <t xml:space="preserve"> Sludge cake =</t>
  </si>
  <si>
    <t>solids</t>
  </si>
  <si>
    <t xml:space="preserve"> Specific gravity of sludge =</t>
  </si>
  <si>
    <t xml:space="preserve"> Solids capture =</t>
  </si>
  <si>
    <r>
      <t>Centrate BOD</t>
    </r>
    <r>
      <rPr>
        <i/>
        <vertAlign val="subscript"/>
        <sz val="14"/>
        <color rgb="FF231F20"/>
        <rFont val="Times New Roman"/>
        <family val="1"/>
      </rPr>
      <t>C</t>
    </r>
    <r>
      <rPr>
        <i/>
        <sz val="14"/>
        <color rgb="FF231F20"/>
        <rFont val="Times New Roman"/>
        <family val="1"/>
      </rPr>
      <t xml:space="preserve"> =</t>
    </r>
  </si>
  <si>
    <t>mg/L</t>
  </si>
  <si>
    <t>SOLUTION</t>
  </si>
  <si>
    <t>Convert the given constitient quantities to daily mass values</t>
  </si>
  <si>
    <r>
      <t xml:space="preserve"> 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in influent :</t>
    </r>
  </si>
  <si>
    <r>
      <t xml:space="preserve"> 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=</t>
    </r>
  </si>
  <si>
    <t>kg/d</t>
  </si>
  <si>
    <r>
      <t>{(m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/d* g/m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) /(g/kg)}</t>
    </r>
  </si>
  <si>
    <r>
      <t xml:space="preserve"> 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of return flow =</t>
    </r>
  </si>
  <si>
    <r>
      <t xml:space="preserve"> 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total =</t>
    </r>
  </si>
  <si>
    <t>b</t>
  </si>
  <si>
    <r>
      <t xml:space="preserve">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in influent</t>
    </r>
  </si>
  <si>
    <r>
      <t xml:space="preserve">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=</t>
    </r>
  </si>
  <si>
    <r>
      <t xml:space="preserve">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return flow =</t>
    </r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</si>
  <si>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removed in grit =</t>
    </r>
  </si>
  <si>
    <r>
      <t xml:space="preserve">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after grit removal ( influent to primary settling tank)</t>
    </r>
  </si>
  <si>
    <r>
      <t>Estimate the concentration of soluble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in the effluent using the following relationship :</t>
    </r>
  </si>
  <si>
    <r>
      <t>Eflluent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 Influent solube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escaping treatment (S) +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effluent TSS</t>
    </r>
  </si>
  <si>
    <t>Equation  (8-26), Pg-726</t>
  </si>
  <si>
    <t xml:space="preserve">a. </t>
  </si>
  <si>
    <r>
      <t>Determining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effluent TSS</t>
    </r>
  </si>
  <si>
    <t>Biodegradability portion of TSS (VSS/TSS)=</t>
  </si>
  <si>
    <t>UBOD used per gram VSS Consumed (UBOD/VSS) =</t>
  </si>
  <si>
    <r>
      <t>Ratio of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by Ultimate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(BOD/UBOD)=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</si>
  <si>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Effluent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</si>
  <si>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r>
      <t>{(g/g)/( g/g) *(g/g)/( g/g) *(g/g)/( g/g) }*g/m</t>
    </r>
    <r>
      <rPr>
        <vertAlign val="superscript"/>
        <sz val="14"/>
        <color theme="1"/>
        <rFont val="Times New Roman"/>
        <family val="1"/>
      </rPr>
      <t>3</t>
    </r>
  </si>
  <si>
    <r>
      <t>Eflluent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 Influent solube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escaping treatment +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effluent TSS</t>
    </r>
  </si>
  <si>
    <t>20=S+13.8</t>
  </si>
  <si>
    <t>S=</t>
  </si>
  <si>
    <t>Primary Sedimentation</t>
  </si>
  <si>
    <t>i.</t>
  </si>
  <si>
    <t>Operating Parameters</t>
  </si>
  <si>
    <t xml:space="preserve">ii. 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</si>
  <si>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removed =</t>
    </r>
  </si>
  <si>
    <t>iii.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</si>
  <si>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to secondary =</t>
    </r>
  </si>
  <si>
    <t>iv.</t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</si>
  <si>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removed =</t>
    </r>
  </si>
  <si>
    <t>v.</t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</si>
  <si>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to secondary =</t>
    </r>
  </si>
  <si>
    <t>Determine volatile fraction of primary sludge</t>
  </si>
  <si>
    <t xml:space="preserve">i. </t>
  </si>
  <si>
    <r>
      <t>VSS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in influent prior to grit removal =</t>
    </r>
  </si>
  <si>
    <r>
      <t>VSS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removed in grit chamber =</t>
    </r>
  </si>
  <si>
    <r>
      <t>VSS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in secondary influent = </t>
    </r>
  </si>
  <si>
    <r>
      <t>VSS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in primary sludge = </t>
    </r>
  </si>
  <si>
    <t>Volatile Fraction in Primary Sludge =</t>
  </si>
  <si>
    <t>Secondary Process</t>
  </si>
  <si>
    <t>Determining the secondary process operating parameters</t>
  </si>
  <si>
    <t>Flowrate =</t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</si>
  <si>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to secondary (S</t>
    </r>
    <r>
      <rPr>
        <vertAlign val="subscript"/>
        <sz val="14"/>
        <color theme="1"/>
        <rFont val="Times New Roman"/>
        <family val="1"/>
      </rPr>
      <t>0</t>
    </r>
    <r>
      <rPr>
        <sz val="14"/>
        <color theme="1"/>
        <rFont val="Times New Roman"/>
        <family val="1"/>
      </rPr>
      <t>) =</t>
    </r>
  </si>
  <si>
    <r>
      <t>{((kg/d)/(m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/d))/(kg/g)}</t>
    </r>
  </si>
  <si>
    <t xml:space="preserve"> Influent solube BODC escaping treatment (S) =</t>
  </si>
  <si>
    <r>
      <t>Mixed Liquor VSS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</si>
  <si>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t>Pg-600, Eq 7-42</t>
  </si>
  <si>
    <r>
      <t>Mixed Liquor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</si>
  <si>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r>
      <t>Y</t>
    </r>
    <r>
      <rPr>
        <vertAlign val="subscript"/>
        <sz val="14"/>
        <color theme="1"/>
        <rFont val="Times New Roman"/>
        <family val="1"/>
      </rPr>
      <t>obs</t>
    </r>
    <r>
      <rPr>
        <sz val="14"/>
        <color theme="1"/>
        <rFont val="Times New Roman"/>
        <family val="1"/>
      </rPr>
      <t xml:space="preserve"> =</t>
    </r>
  </si>
  <si>
    <t>Pg-603, Eq 7-59</t>
  </si>
  <si>
    <t>ii.</t>
  </si>
  <si>
    <t>Determine Effluent Mass Quantities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</si>
  <si>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=</t>
    </r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</si>
  <si>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=</t>
    </r>
  </si>
  <si>
    <t xml:space="preserve">Estimate Mass of Volatile solids produced in the activated sludge process that must be waste. </t>
  </si>
  <si>
    <r>
      <t>P</t>
    </r>
    <r>
      <rPr>
        <vertAlign val="subscript"/>
        <sz val="12"/>
        <color theme="1"/>
        <rFont val="Times New Roman"/>
        <family val="1"/>
      </rPr>
      <t>X,VSS</t>
    </r>
    <r>
      <rPr>
        <vertAlign val="subscript"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=</t>
    </r>
  </si>
  <si>
    <t>Pg-720 Eq 8-19</t>
  </si>
  <si>
    <t xml:space="preserve">iv. </t>
  </si>
  <si>
    <r>
      <t>Estimate the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that must be wasted</t>
    </r>
  </si>
  <si>
    <t>Flotation Thickeners</t>
  </si>
  <si>
    <t>( specific gravity of the solids ) =</t>
  </si>
  <si>
    <t>Determine flowrate of the thickened sludge</t>
  </si>
  <si>
    <t>Solid captured by thickener =</t>
  </si>
  <si>
    <t xml:space="preserve">iii. </t>
  </si>
  <si>
    <t xml:space="preserve">Determine Flowrate recyled to the plant influent </t>
  </si>
  <si>
    <t>Recycled Flowrate =</t>
  </si>
  <si>
    <r>
      <t>Determine the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to the digester</t>
    </r>
  </si>
  <si>
    <t>v</t>
  </si>
  <si>
    <r>
      <t>Determine the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going to digester</t>
    </r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</si>
  <si>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 =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</si>
  <si>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</si>
  <si>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t>vi</t>
  </si>
  <si>
    <r>
      <t>Determine the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recyled to the plant influent</t>
    </r>
  </si>
  <si>
    <t>vii</t>
  </si>
  <si>
    <r>
      <t>Determine the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in the recyled flow</t>
    </r>
  </si>
  <si>
    <r>
      <t xml:space="preserve">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in the recyled flow =</t>
    </r>
  </si>
  <si>
    <t>Sludge Digestion</t>
  </si>
  <si>
    <t>Determine the solids fed to the digester and the corresponding flowrate.</t>
  </si>
  <si>
    <t>Total Flowrate =</t>
  </si>
  <si>
    <r>
      <t>Determine the VSS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fed to the digester</t>
    </r>
  </si>
  <si>
    <r>
      <t>VSS</t>
    </r>
    <r>
      <rPr>
        <vertAlign val="subscript"/>
        <sz val="14"/>
        <color theme="1"/>
        <rFont val="Times New Roman"/>
        <family val="1"/>
      </rPr>
      <t xml:space="preserve">M </t>
    </r>
    <r>
      <rPr>
        <sz val="14"/>
        <color theme="1"/>
        <rFont val="Times New Roman"/>
        <family val="1"/>
      </rPr>
      <t>=</t>
    </r>
  </si>
  <si>
    <r>
      <t>Percentage VSS</t>
    </r>
    <r>
      <rPr>
        <vertAlign val="subscript"/>
        <sz val="14"/>
        <color theme="1"/>
        <rFont val="Times New Roman"/>
        <family val="1"/>
      </rPr>
      <t xml:space="preserve">M </t>
    </r>
    <r>
      <rPr>
        <sz val="14"/>
        <color theme="1"/>
        <rFont val="Times New Roman"/>
        <family val="1"/>
      </rPr>
      <t>in mixture fed to digester =</t>
    </r>
  </si>
  <si>
    <t xml:space="preserve">Determine the VSS destroyed </t>
  </si>
  <si>
    <t>Determine the mass flowrate to the digester</t>
  </si>
  <si>
    <t>Mass Flow from Primary Sludge =</t>
  </si>
  <si>
    <t>(Unitary method, if 6% has a mass of 5443.2 kg, how much does 100% have)</t>
  </si>
  <si>
    <t>Mass Flow from Thickened Activated Sludge =</t>
  </si>
  <si>
    <t>(Unitary method, if 4% has a mass of 1433 kg, how much does 100% have)</t>
  </si>
  <si>
    <t>Parameters for Digester</t>
  </si>
  <si>
    <t>Y=</t>
  </si>
  <si>
    <t>kg VSS/kg bCOD utilized</t>
  </si>
  <si>
    <t>b =</t>
  </si>
  <si>
    <r>
      <t>S</t>
    </r>
    <r>
      <rPr>
        <vertAlign val="subscript"/>
        <sz val="14"/>
        <color theme="1"/>
        <rFont val="Times New Roman"/>
        <family val="1"/>
      </rPr>
      <t>0</t>
    </r>
    <r>
      <rPr>
        <sz val="14"/>
        <color theme="1"/>
        <rFont val="Times New Roman"/>
        <family val="1"/>
      </rPr>
      <t>=</t>
    </r>
  </si>
  <si>
    <r>
      <t>(Combined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from Primary and Secondary Sludge)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</si>
  <si>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after digestion based on percentage reduction of VSS</t>
    </r>
  </si>
  <si>
    <t>Q=</t>
  </si>
  <si>
    <t xml:space="preserve">Combined Flow rate </t>
  </si>
  <si>
    <t>SRT =</t>
  </si>
  <si>
    <r>
      <t>P</t>
    </r>
    <r>
      <rPr>
        <vertAlign val="subscript"/>
        <sz val="14"/>
        <color theme="1"/>
        <rFont val="Times New Roman"/>
        <family val="1"/>
      </rPr>
      <t>X</t>
    </r>
    <r>
      <rPr>
        <sz val="14"/>
        <color theme="1"/>
        <rFont val="Times New Roman"/>
        <family val="1"/>
      </rPr>
      <t xml:space="preserve"> =</t>
    </r>
  </si>
  <si>
    <t>Net Mass of Cell tissue produced per day</t>
  </si>
  <si>
    <r>
      <t>V</t>
    </r>
    <r>
      <rPr>
        <vertAlign val="subscript"/>
        <sz val="14"/>
        <color theme="1"/>
        <rFont val="Times New Roman"/>
        <family val="1"/>
      </rPr>
      <t>CH4</t>
    </r>
    <r>
      <rPr>
        <sz val="14"/>
        <color theme="1"/>
        <rFont val="Times New Roman"/>
        <family val="1"/>
      </rPr>
      <t xml:space="preserve"> =</t>
    </r>
  </si>
  <si>
    <r>
      <t>V</t>
    </r>
    <r>
      <rPr>
        <vertAlign val="subscript"/>
        <sz val="14"/>
        <color theme="1"/>
        <rFont val="Times New Roman"/>
        <family val="1"/>
      </rPr>
      <t>GAS =</t>
    </r>
  </si>
  <si>
    <t>(Assuming 65% of biogas as methane)</t>
  </si>
  <si>
    <t>Biogas Mass =</t>
  </si>
  <si>
    <t xml:space="preserve">vi. </t>
  </si>
  <si>
    <t xml:space="preserve">Determine the mass quantities of gas and sludge after digestion. </t>
  </si>
  <si>
    <r>
      <t>Fixed Solids =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- VSS</t>
    </r>
    <r>
      <rPr>
        <vertAlign val="subscript"/>
        <sz val="14"/>
        <color theme="1"/>
        <rFont val="Times New Roman"/>
        <family val="1"/>
      </rPr>
      <t>M</t>
    </r>
  </si>
  <si>
    <t xml:space="preserve">Fixed Solids = </t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</si>
  <si>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in digested sludge=</t>
    </r>
  </si>
  <si>
    <r>
      <t>kg/m</t>
    </r>
    <r>
      <rPr>
        <vertAlign val="superscript"/>
        <sz val="14"/>
        <color theme="1"/>
        <rFont val="Times New Roman"/>
        <family val="1"/>
      </rPr>
      <t>3</t>
    </r>
  </si>
  <si>
    <t>Mass Balance of Digested Output</t>
  </si>
  <si>
    <t>Mass IN =</t>
  </si>
  <si>
    <t>Gas Produced =</t>
  </si>
  <si>
    <t>Mass Out =</t>
  </si>
  <si>
    <t>(Solids and Liquid)</t>
  </si>
  <si>
    <t>vii.</t>
  </si>
  <si>
    <t xml:space="preserve">Determine the flowrate distribution between the supernatant at 0.5% solids and digested Sludge at 5% solids. Let X = TSS of Supernatant </t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</si>
  <si>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Supernatant =</t>
    </r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</si>
  <si>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Digested Sludge =</t>
    </r>
  </si>
  <si>
    <t>Mass Flow of Supernatant + Mass Flow of Digested Solids = Mass Out</t>
  </si>
  <si>
    <t>{(X/0.005)+((4443-X)/0.05)}=123729</t>
  </si>
  <si>
    <t>Solve for X</t>
  </si>
  <si>
    <t>X =</t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</si>
  <si>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Supernatant =</t>
    </r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</si>
  <si>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Digested Sludge =</t>
    </r>
  </si>
  <si>
    <t>Supernatant Flowrate =</t>
  </si>
  <si>
    <t>Digested Sludge Flowrate =</t>
  </si>
  <si>
    <t>viii.</t>
  </si>
  <si>
    <t>Establish the characteristics of the recycled flow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</si>
  <si>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Supernatant =</t>
    </r>
  </si>
  <si>
    <t xml:space="preserve">Sludge Dewatering </t>
  </si>
  <si>
    <t>Operating Parameters for centrifuge :</t>
  </si>
  <si>
    <t>Density of Water =</t>
  </si>
  <si>
    <t>Determine the Sludge-cake characteristics.</t>
  </si>
  <si>
    <t>Solids =</t>
  </si>
  <si>
    <t>Determine the Centrate Characteristics</t>
  </si>
  <si>
    <t xml:space="preserve">Flowrate = </t>
  </si>
  <si>
    <r>
      <t>BOD</t>
    </r>
    <r>
      <rPr>
        <vertAlign val="subscript"/>
        <sz val="14"/>
        <color theme="1"/>
        <rFont val="Times New Roman"/>
        <family val="1"/>
      </rPr>
      <t>M  =</t>
    </r>
  </si>
  <si>
    <r>
      <t>TSS</t>
    </r>
    <r>
      <rPr>
        <vertAlign val="subscript"/>
        <sz val="14"/>
        <color theme="1"/>
        <rFont val="Times New Roman"/>
        <family val="1"/>
      </rPr>
      <t>M =</t>
    </r>
  </si>
  <si>
    <t>Prepare a summary table of the recycle flows and waste characteristics for the first iteration</t>
  </si>
  <si>
    <t>Operation</t>
  </si>
  <si>
    <r>
      <t>Flowrate,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/d</t>
    </r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</si>
  <si>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>, kg/d</t>
    </r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</si>
  <si>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>, kg/d</t>
    </r>
  </si>
  <si>
    <t>Flotation Thickener</t>
  </si>
  <si>
    <t>Digester Supernatant</t>
  </si>
  <si>
    <t xml:space="preserve">Centrate </t>
  </si>
  <si>
    <t>Totals</t>
  </si>
  <si>
    <t>Other Important Values</t>
  </si>
  <si>
    <t>Incremental change from previous iteration</t>
  </si>
  <si>
    <t>(Solids Capture in Gravity Thickener) =</t>
  </si>
  <si>
    <t xml:space="preserve">Concentration of Thickened sludge = </t>
  </si>
  <si>
    <t>TSS removed in grit =</t>
  </si>
  <si>
    <t xml:space="preserve">Specific Gravity of Grit = </t>
  </si>
  <si>
    <t>Solids Concentration in Grit =</t>
  </si>
  <si>
    <r>
      <t>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Grit =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</si>
  <si>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Grit</t>
    </r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</si>
  <si>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grit =</t>
    </r>
  </si>
  <si>
    <t>Flow rate =</t>
  </si>
  <si>
    <r>
      <t xml:space="preserve">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combined flow =</t>
    </r>
  </si>
  <si>
    <t>Gravity Thickening of Primary Sludge</t>
  </si>
  <si>
    <t>Specific Gravity of Solids =</t>
  </si>
  <si>
    <t>Flow Rate of Primary Sludge =</t>
  </si>
  <si>
    <t>Determine Flowrate of the Thickened Sludge =</t>
  </si>
  <si>
    <t>Determine flowrate recycled to the plant influent =</t>
  </si>
  <si>
    <r>
      <t>Determine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to the digestor =</t>
    </r>
  </si>
  <si>
    <r>
      <t>Determine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recycled to the plant influent =</t>
    </r>
  </si>
  <si>
    <r>
      <t xml:space="preserve">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recycled flow =</t>
    </r>
  </si>
  <si>
    <t>vi.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</si>
  <si>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the recyled flow =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</si>
  <si>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recycled flow=</t>
    </r>
  </si>
  <si>
    <r>
      <t>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of flow going to digestor=</t>
    </r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</si>
  <si>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the digestor flow =</t>
    </r>
  </si>
  <si>
    <t>ix.</t>
  </si>
  <si>
    <t>Estimate the waste quantities discharged to the thicker. It is assumed that the wasting is from the secondary clarifier</t>
  </si>
  <si>
    <t>MLSS in Return Activated Sludge=</t>
  </si>
  <si>
    <r>
      <t>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 = Solids fed from gravity thickener and solids fed from thickener</t>
    </r>
  </si>
  <si>
    <t>Pg,1506,1507, Eq 13-12, 13-13</t>
  </si>
  <si>
    <t>Yield Coefficient, Y=</t>
  </si>
  <si>
    <t>Endogenous coefficient, b =</t>
  </si>
  <si>
    <r>
      <t>(Assuming density of biogas as 1.12 kg/m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)</t>
    </r>
  </si>
  <si>
    <r>
      <t>Let X be TSS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Supernatant</t>
    </r>
  </si>
  <si>
    <t>Gravity Thickener</t>
  </si>
  <si>
    <t>Real Values Taken From WWTP</t>
  </si>
  <si>
    <t>Values taken from Metcalf &amp; Eddy</t>
  </si>
  <si>
    <t>Computed Values</t>
  </si>
  <si>
    <t>Referenced Values</t>
  </si>
  <si>
    <t>Legend</t>
  </si>
  <si>
    <t>Annual average flowrate</t>
  </si>
  <si>
    <t>Return Flowrate</t>
  </si>
  <si>
    <t xml:space="preserve">Total average flowrate =  </t>
  </si>
  <si>
    <t>Preparation of a Solids Mass Balance for 32.4 MLD  GWWTP in Kathmandu</t>
  </si>
  <si>
    <t>Secondary Clarifier Outlet characteristics</t>
  </si>
  <si>
    <t>Raw Sewage</t>
  </si>
  <si>
    <t>Grit Removal</t>
  </si>
  <si>
    <t>Return Flows</t>
  </si>
  <si>
    <t>Primary Sedimentation Inlet</t>
  </si>
  <si>
    <t xml:space="preserve">Primary Sludge </t>
  </si>
  <si>
    <t xml:space="preserve">Gravity Thickened Sludge </t>
  </si>
  <si>
    <t>Secondary Clarifier Outlet</t>
  </si>
  <si>
    <t>Waste Activated Sludge</t>
  </si>
  <si>
    <t>Flotation Thickener Sludge</t>
  </si>
  <si>
    <t xml:space="preserve">Effluent </t>
  </si>
  <si>
    <t>Inlet for AD</t>
  </si>
  <si>
    <t>Supernatant</t>
  </si>
  <si>
    <t>Digestate</t>
  </si>
  <si>
    <t>Dewatered Disgestate</t>
  </si>
  <si>
    <t>Aeration Tank Inlet</t>
  </si>
  <si>
    <t>Gas</t>
  </si>
  <si>
    <r>
      <t>BOD</t>
    </r>
    <r>
      <rPr>
        <vertAlign val="subscript"/>
        <sz val="14"/>
        <color theme="1"/>
        <rFont val="Times New Roman"/>
        <family val="1"/>
      </rPr>
      <t>M</t>
    </r>
    <r>
      <rPr>
        <sz val="14"/>
        <color theme="1"/>
        <rFont val="Times New Roman"/>
        <family val="1"/>
      </rPr>
      <t xml:space="preserve"> of the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=</t>
    </r>
  </si>
  <si>
    <t>Parameters taken from GWWTP</t>
  </si>
  <si>
    <t>Parameters taken From Metcalf &amp; Eddy</t>
  </si>
  <si>
    <t>Parameters taken as Reference</t>
  </si>
  <si>
    <t xml:space="preserve"> Volatile fraction of grit</t>
  </si>
  <si>
    <t>TSS removed in grit</t>
  </si>
  <si>
    <t xml:space="preserve">Solids Concentration in Grit </t>
  </si>
  <si>
    <t xml:space="preserve">Solids capture in the flotation thickeners </t>
  </si>
  <si>
    <t xml:space="preserve">Concentration of Thickened sludge </t>
  </si>
  <si>
    <t xml:space="preserve">(Solids Capture in Gravity Thickener) </t>
  </si>
  <si>
    <t xml:space="preserve">Concentration of thickened WAS </t>
  </si>
  <si>
    <t xml:space="preserve">Concentration of primary sludge </t>
  </si>
  <si>
    <t>Specific Gravity of Grit</t>
  </si>
  <si>
    <t xml:space="preserve">Total suspended solids in digested sludge </t>
  </si>
  <si>
    <t>BOD removal in Primary Sedimentation</t>
  </si>
  <si>
    <t>TSS  removal in Primary Sedimentation</t>
  </si>
  <si>
    <t>Solids Rentention Rate in Digestor</t>
  </si>
  <si>
    <t xml:space="preserve">Volatile Solids Reduction </t>
  </si>
  <si>
    <t xml:space="preserve"> BODC in digester supernatant</t>
  </si>
  <si>
    <t xml:space="preserve"> TSSC in digested sludge </t>
  </si>
  <si>
    <t xml:space="preserve"> Sludge cake </t>
  </si>
  <si>
    <t xml:space="preserve"> Specific gravity of sludge </t>
  </si>
  <si>
    <t xml:space="preserve"> Solids capture in centrifuge</t>
  </si>
  <si>
    <t xml:space="preserve">( VSSC/TSSC) ratio in influent </t>
  </si>
  <si>
    <t xml:space="preserve">Special Gravity of Solids  </t>
  </si>
  <si>
    <t>Biodegradability of biological solids</t>
  </si>
  <si>
    <r>
      <t>Ratio of ( BOD</t>
    </r>
    <r>
      <rPr>
        <vertAlign val="subscript"/>
        <sz val="7.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>/UBOD)</t>
    </r>
  </si>
  <si>
    <r>
      <t xml:space="preserve"> (VSS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>/ TSS</t>
    </r>
    <r>
      <rPr>
        <vertAlign val="subscript"/>
        <sz val="14"/>
        <color theme="1"/>
        <rFont val="Times New Roman"/>
        <family val="1"/>
      </rPr>
      <t xml:space="preserve">C)  </t>
    </r>
    <r>
      <rPr>
        <sz val="14"/>
        <color theme="1"/>
        <rFont val="Times New Roman"/>
        <family val="1"/>
      </rPr>
      <t>ratio going to secondary treatment</t>
    </r>
  </si>
  <si>
    <r>
      <t>The mixed-liquor  VSS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>/ TSS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ratio </t>
    </r>
  </si>
  <si>
    <r>
      <t xml:space="preserve"> BOD</t>
    </r>
    <r>
      <rPr>
        <vertAlign val="subscript"/>
        <sz val="14"/>
        <color theme="1"/>
        <rFont val="Times New Roman"/>
        <family val="1"/>
      </rPr>
      <t xml:space="preserve">C </t>
    </r>
    <r>
      <rPr>
        <sz val="14"/>
        <color theme="1"/>
        <rFont val="Times New Roman"/>
        <family val="1"/>
      </rPr>
      <t xml:space="preserve">in digester supernatant </t>
    </r>
  </si>
  <si>
    <t>Yeld Cofficient for Aeration Tank</t>
  </si>
  <si>
    <t>Decay Co-efficient for Aeration Tank</t>
  </si>
  <si>
    <t>Solids Retention Time for Aeration Tank</t>
  </si>
  <si>
    <t>Yield Coefficient for Digestor</t>
  </si>
  <si>
    <t>Endogenous coefficient for Digestor</t>
  </si>
  <si>
    <r>
      <t>Centrate BOD</t>
    </r>
    <r>
      <rPr>
        <vertAlign val="subscript"/>
        <sz val="14"/>
        <color theme="1"/>
        <rFont val="Times New Roman"/>
        <family val="1"/>
      </rPr>
      <t>C</t>
    </r>
    <r>
      <rPr>
        <sz val="14"/>
        <color theme="1"/>
        <rFont val="Times New Roman"/>
        <family val="1"/>
      </rPr>
      <t xml:space="preserve"> </t>
    </r>
  </si>
  <si>
    <t xml:space="preserve">Ratio of (UBOD/VSS) </t>
  </si>
  <si>
    <r>
      <t>TSS</t>
    </r>
    <r>
      <rPr>
        <vertAlign val="subscript"/>
        <sz val="14"/>
        <color theme="1"/>
        <rFont val="Times New Roman"/>
        <family val="1"/>
      </rPr>
      <t xml:space="preserve">C </t>
    </r>
    <r>
      <rPr>
        <sz val="14"/>
        <color theme="1"/>
        <rFont val="Times New Roman"/>
        <family val="1"/>
      </rPr>
      <t xml:space="preserve">of Supernatant </t>
    </r>
  </si>
  <si>
    <t xml:space="preserve">Density of Water </t>
  </si>
  <si>
    <t>MLSS in Return Activated Sludge</t>
  </si>
  <si>
    <r>
      <t>Percentage VSS</t>
    </r>
    <r>
      <rPr>
        <vertAlign val="subscript"/>
        <sz val="14"/>
        <color theme="1"/>
        <rFont val="Times New Roman"/>
        <family val="1"/>
      </rPr>
      <t xml:space="preserve">M </t>
    </r>
    <r>
      <rPr>
        <sz val="14"/>
        <color theme="1"/>
        <rFont val="Times New Roman"/>
        <family val="1"/>
      </rPr>
      <t>in mixture =</t>
    </r>
  </si>
  <si>
    <r>
      <t>BOD</t>
    </r>
    <r>
      <rPr>
        <vertAlign val="subscript"/>
        <sz val="14"/>
        <color theme="1"/>
        <rFont val="Times New Roman"/>
        <family val="1"/>
      </rPr>
      <t xml:space="preserve">M </t>
    </r>
    <r>
      <rPr>
        <sz val="14"/>
        <color theme="1"/>
        <rFont val="Times New Roman"/>
        <family val="1"/>
      </rPr>
      <t>, kg/d</t>
    </r>
  </si>
  <si>
    <r>
      <t>TSS</t>
    </r>
    <r>
      <rPr>
        <vertAlign val="subscript"/>
        <sz val="14"/>
        <color theme="1"/>
        <rFont val="Times New Roman"/>
        <family val="1"/>
      </rPr>
      <t xml:space="preserve">M </t>
    </r>
    <r>
      <rPr>
        <sz val="14"/>
        <color theme="1"/>
        <rFont val="Times New Roman"/>
        <family val="1"/>
      </rPr>
      <t>, kg/d</t>
    </r>
  </si>
  <si>
    <t xml:space="preserve">Annual average Flowrate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</si>
</sst>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rgb="FF231F20"/>
      <name val="Times New Roman"/>
      <family val="1"/>
    </font>
    <font>
      <sz val="14"/>
      <color rgb="FF231F20"/>
      <name val="Times New Roman"/>
      <family val="1"/>
    </font>
    <font>
      <i/>
      <vertAlign val="subscript"/>
      <sz val="14"/>
      <color rgb="FF231F20"/>
      <name val="Times New Roman"/>
      <family val="1"/>
    </font>
    <font>
      <i/>
      <sz val="14"/>
      <color rgb="FF231F20"/>
      <name val="Times New Roman"/>
      <family val="1"/>
    </font>
    <font>
      <vertAlign val="superscript"/>
      <sz val="14"/>
      <color rgb="FF231F20"/>
      <name val="Times New Roman"/>
      <family val="1"/>
    </font>
    <font>
      <vertAlign val="superscript"/>
      <sz val="14"/>
      <color theme="1"/>
      <name val="Times New Roman"/>
      <family val="1"/>
    </font>
    <font>
      <vertAlign val="subscript"/>
      <sz val="14"/>
      <color theme="1"/>
      <name val="Times New Roman"/>
      <family val="1"/>
    </font>
    <font>
      <vertAlign val="subscript"/>
      <sz val="14"/>
      <color rgb="FF231F20"/>
      <name val="Times New Roman"/>
      <family val="1"/>
    </font>
    <font>
      <vertAlign val="subscript"/>
      <sz val="12"/>
      <color theme="1"/>
      <name val="Times New Roman"/>
      <family val="1"/>
    </font>
    <font>
      <b/>
      <sz val="14"/>
      <color theme="1"/>
      <name val="Times New Roman"/>
      <family val="1"/>
    </font>
    <font>
      <vertAlign val="subscript"/>
      <sz val="7.4"/>
      <color theme="1"/>
      <name val="Times New Roman"/>
      <family val="1"/>
    </font>
    <font>
      <sz val="18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A7B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0" applyFont="1" applyAlignment="1">
      <alignment horizontal="right"/>
    </xf>
    <xf numFmtId="0" fontId="3" fillId="2" borderId="0" xfId="0" applyFont="1" applyFill="1"/>
    <xf numFmtId="0" fontId="2" fillId="2" borderId="0" xfId="0" applyFont="1" applyFill="1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2" fillId="3" borderId="0" xfId="0" applyFont="1" applyFill="1"/>
    <xf numFmtId="0" fontId="2" fillId="4" borderId="0" xfId="0" applyFont="1" applyFill="1" applyAlignment="1">
      <alignment horizontal="right"/>
    </xf>
    <xf numFmtId="0" fontId="4" fillId="4" borderId="0" xfId="0" applyFont="1" applyFill="1"/>
    <xf numFmtId="0" fontId="2" fillId="4" borderId="0" xfId="0" applyFont="1" applyFill="1"/>
    <xf numFmtId="0" fontId="2" fillId="5" borderId="1" xfId="0" applyFont="1" applyFill="1" applyBorder="1"/>
    <xf numFmtId="9" fontId="2" fillId="5" borderId="1" xfId="1" applyFont="1" applyFill="1" applyBorder="1"/>
    <xf numFmtId="0" fontId="6" fillId="0" borderId="0" xfId="0" applyFont="1"/>
    <xf numFmtId="0" fontId="2" fillId="0" borderId="1" xfId="0" applyFont="1" applyBorder="1"/>
    <xf numFmtId="0" fontId="2" fillId="6" borderId="0" xfId="0" applyFont="1" applyFill="1"/>
    <xf numFmtId="9" fontId="2" fillId="7" borderId="1" xfId="1" applyFont="1" applyFill="1" applyBorder="1"/>
    <xf numFmtId="0" fontId="2" fillId="7" borderId="1" xfId="0" applyFont="1" applyFill="1" applyBorder="1"/>
    <xf numFmtId="164" fontId="2" fillId="7" borderId="1" xfId="0" applyNumberFormat="1" applyFont="1" applyFill="1" applyBorder="1"/>
    <xf numFmtId="0" fontId="2" fillId="8" borderId="0" xfId="0" applyFont="1" applyFill="1"/>
    <xf numFmtId="9" fontId="2" fillId="7" borderId="2" xfId="1" applyFont="1" applyFill="1" applyBorder="1"/>
    <xf numFmtId="2" fontId="2" fillId="0" borderId="1" xfId="0" applyNumberFormat="1" applyFont="1" applyBorder="1"/>
    <xf numFmtId="10" fontId="2" fillId="0" borderId="1" xfId="1" applyNumberFormat="1" applyFont="1" applyFill="1" applyBorder="1"/>
    <xf numFmtId="9" fontId="2" fillId="7" borderId="1" xfId="0" applyNumberFormat="1" applyFont="1" applyFill="1" applyBorder="1"/>
    <xf numFmtId="0" fontId="2" fillId="9" borderId="0" xfId="0" applyFont="1" applyFill="1"/>
    <xf numFmtId="165" fontId="2" fillId="5" borderId="1" xfId="1" applyNumberFormat="1" applyFont="1" applyFill="1" applyBorder="1"/>
    <xf numFmtId="1" fontId="2" fillId="7" borderId="1" xfId="1" applyNumberFormat="1" applyFont="1" applyFill="1" applyBorder="1"/>
    <xf numFmtId="1" fontId="2" fillId="5" borderId="1" xfId="1" applyNumberFormat="1" applyFont="1" applyFill="1" applyBorder="1"/>
    <xf numFmtId="0" fontId="2" fillId="0" borderId="3" xfId="0" applyFont="1" applyBorder="1"/>
    <xf numFmtId="2" fontId="2" fillId="0" borderId="3" xfId="0" applyNumberFormat="1" applyFont="1" applyBorder="1"/>
    <xf numFmtId="165" fontId="2" fillId="7" borderId="1" xfId="1" applyNumberFormat="1" applyFont="1" applyFill="1" applyBorder="1"/>
    <xf numFmtId="2" fontId="2" fillId="7" borderId="1" xfId="0" applyNumberFormat="1" applyFont="1" applyFill="1" applyBorder="1"/>
    <xf numFmtId="0" fontId="2" fillId="8" borderId="1" xfId="0" applyFont="1" applyFill="1" applyBorder="1"/>
    <xf numFmtId="9" fontId="2" fillId="8" borderId="1" xfId="1" applyFont="1" applyFill="1" applyBorder="1"/>
    <xf numFmtId="165" fontId="2" fillId="8" borderId="1" xfId="1" applyNumberFormat="1" applyFont="1" applyFill="1" applyBorder="1"/>
    <xf numFmtId="9" fontId="2" fillId="8" borderId="2" xfId="1" applyFont="1" applyFill="1" applyBorder="1"/>
    <xf numFmtId="164" fontId="2" fillId="5" borderId="1" xfId="0" applyNumberFormat="1" applyFont="1" applyFill="1" applyBorder="1"/>
    <xf numFmtId="1" fontId="2" fillId="5" borderId="1" xfId="0" applyNumberFormat="1" applyFont="1" applyFill="1" applyBorder="1"/>
    <xf numFmtId="2" fontId="2" fillId="8" borderId="1" xfId="1" applyNumberFormat="1" applyFont="1" applyFill="1" applyBorder="1"/>
    <xf numFmtId="164" fontId="2" fillId="0" borderId="0" xfId="0" applyNumberFormat="1" applyFont="1"/>
    <xf numFmtId="165" fontId="2" fillId="0" borderId="0" xfId="1" applyNumberFormat="1" applyFont="1" applyBorder="1"/>
    <xf numFmtId="2" fontId="2" fillId="0" borderId="0" xfId="1" applyNumberFormat="1" applyFont="1" applyBorder="1"/>
    <xf numFmtId="2" fontId="2" fillId="0" borderId="1" xfId="1" applyNumberFormat="1" applyFont="1" applyBorder="1"/>
    <xf numFmtId="10" fontId="2" fillId="0" borderId="1" xfId="1" applyNumberFormat="1" applyFont="1" applyBorder="1"/>
    <xf numFmtId="166" fontId="2" fillId="7" borderId="1" xfId="1" applyNumberFormat="1" applyFont="1" applyFill="1" applyBorder="1"/>
    <xf numFmtId="2" fontId="2" fillId="0" borderId="4" xfId="0" applyNumberFormat="1" applyFont="1" applyBorder="1"/>
    <xf numFmtId="9" fontId="2" fillId="0" borderId="3" xfId="1" applyFont="1" applyBorder="1"/>
    <xf numFmtId="10" fontId="2" fillId="0" borderId="3" xfId="1" applyNumberFormat="1" applyFont="1" applyBorder="1"/>
    <xf numFmtId="0" fontId="2" fillId="0" borderId="3" xfId="0" applyFont="1" applyBorder="1" applyAlignment="1">
      <alignment wrapText="1"/>
    </xf>
    <xf numFmtId="2" fontId="2" fillId="0" borderId="0" xfId="0" applyNumberFormat="1" applyFont="1"/>
    <xf numFmtId="2" fontId="2" fillId="0" borderId="2" xfId="0" applyNumberFormat="1" applyFont="1" applyBorder="1"/>
    <xf numFmtId="1" fontId="2" fillId="0" borderId="3" xfId="0" applyNumberFormat="1" applyFont="1" applyBorder="1"/>
    <xf numFmtId="0" fontId="2" fillId="10" borderId="10" xfId="0" applyFont="1" applyFill="1" applyBorder="1"/>
    <xf numFmtId="0" fontId="2" fillId="10" borderId="11" xfId="0" applyFont="1" applyFill="1" applyBorder="1"/>
    <xf numFmtId="0" fontId="2" fillId="10" borderId="12" xfId="0" applyFont="1" applyFill="1" applyBorder="1"/>
    <xf numFmtId="0" fontId="2" fillId="10" borderId="13" xfId="0" applyFont="1" applyFill="1" applyBorder="1"/>
    <xf numFmtId="0" fontId="2" fillId="10" borderId="14" xfId="0" applyFont="1" applyFill="1" applyBorder="1"/>
    <xf numFmtId="0" fontId="12" fillId="0" borderId="0" xfId="0" applyFont="1"/>
    <xf numFmtId="0" fontId="2" fillId="9" borderId="3" xfId="0" applyFont="1" applyFill="1" applyBorder="1"/>
    <xf numFmtId="0" fontId="2" fillId="11" borderId="3" xfId="0" applyFont="1" applyFill="1" applyBorder="1"/>
    <xf numFmtId="0" fontId="2" fillId="12" borderId="3" xfId="0" applyFont="1" applyFill="1" applyBorder="1"/>
    <xf numFmtId="0" fontId="2" fillId="13" borderId="3" xfId="0" applyFont="1" applyFill="1" applyBorder="1"/>
    <xf numFmtId="0" fontId="2" fillId="6" borderId="3" xfId="0" applyFont="1" applyFill="1" applyBorder="1"/>
    <xf numFmtId="0" fontId="2" fillId="14" borderId="3" xfId="0" applyFont="1" applyFill="1" applyBorder="1"/>
    <xf numFmtId="0" fontId="2" fillId="15" borderId="3" xfId="0" applyFont="1" applyFill="1" applyBorder="1"/>
    <xf numFmtId="0" fontId="14" fillId="8" borderId="3" xfId="0" applyFont="1" applyFill="1" applyBorder="1"/>
    <xf numFmtId="0" fontId="14" fillId="5" borderId="3" xfId="0" applyFont="1" applyFill="1" applyBorder="1"/>
    <xf numFmtId="0" fontId="2" fillId="17" borderId="3" xfId="0" applyFont="1" applyFill="1" applyBorder="1"/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10" borderId="0" xfId="0" applyFont="1" applyFill="1"/>
    <xf numFmtId="0" fontId="2" fillId="10" borderId="18" xfId="0" applyFont="1" applyFill="1" applyBorder="1"/>
    <xf numFmtId="0" fontId="2" fillId="10" borderId="19" xfId="0" applyFont="1" applyFill="1" applyBorder="1"/>
    <xf numFmtId="0" fontId="2" fillId="10" borderId="20" xfId="0" applyFont="1" applyFill="1" applyBorder="1"/>
    <xf numFmtId="0" fontId="2" fillId="4" borderId="10" xfId="0" applyFont="1" applyFill="1" applyBorder="1"/>
    <xf numFmtId="0" fontId="2" fillId="4" borderId="11" xfId="0" applyFont="1" applyFill="1" applyBorder="1"/>
    <xf numFmtId="0" fontId="2" fillId="4" borderId="18" xfId="0" applyFont="1" applyFill="1" applyBorder="1"/>
    <xf numFmtId="0" fontId="2" fillId="4" borderId="12" xfId="0" applyFont="1" applyFill="1" applyBorder="1"/>
    <xf numFmtId="0" fontId="2" fillId="4" borderId="19" xfId="0" applyFont="1" applyFill="1" applyBorder="1"/>
    <xf numFmtId="0" fontId="2" fillId="4" borderId="13" xfId="0" applyFont="1" applyFill="1" applyBorder="1"/>
    <xf numFmtId="0" fontId="2" fillId="4" borderId="14" xfId="0" applyFont="1" applyFill="1" applyBorder="1"/>
    <xf numFmtId="0" fontId="2" fillId="4" borderId="20" xfId="0" applyFont="1" applyFill="1" applyBorder="1"/>
    <xf numFmtId="0" fontId="2" fillId="0" borderId="16" xfId="0" applyFont="1" applyBorder="1"/>
    <xf numFmtId="1" fontId="2" fillId="0" borderId="0" xfId="0" applyNumberFormat="1" applyFont="1"/>
    <xf numFmtId="1" fontId="2" fillId="0" borderId="3" xfId="0" applyNumberFormat="1" applyFont="1" applyBorder="1" applyAlignment="1">
      <alignment horizontal="center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4" xfId="0" applyNumberFormat="1" applyFont="1" applyBorder="1" applyAlignment="1">
      <alignment horizontal="left"/>
    </xf>
    <xf numFmtId="1" fontId="2" fillId="0" borderId="6" xfId="0" applyNumberFormat="1" applyFont="1" applyBorder="1" applyAlignment="1">
      <alignment horizontal="left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4" fillId="16" borderId="3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A7B6"/>
      <color rgb="FFFEA8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25</xdr:col>
      <xdr:colOff>180333</xdr:colOff>
      <xdr:row>100</xdr:row>
      <xdr:rowOff>126999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8756B-4D64-4537-A426-203CC1CC5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5091833" y="23147866"/>
          <a:ext cx="8510475" cy="32967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225C44-0126-4DF6-AFC8-D1948E71D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2004675" y="39303324"/>
          <a:ext cx="3010125" cy="1308102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390698</xdr:colOff>
      <xdr:row>148</xdr:row>
      <xdr:rowOff>111124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3B3574-4A53-4B84-891B-F3B342E02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1750675" y="37487225"/>
          <a:ext cx="5546898" cy="1704974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19</xdr:col>
      <xdr:colOff>522362</xdr:colOff>
      <xdr:row>163</xdr:row>
      <xdr:rowOff>2939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F2B4B0-59A0-4DA1-BB12-CCF38AE74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1480800" y="41144823"/>
          <a:ext cx="7139062" cy="1939691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22</xdr:col>
      <xdr:colOff>804432</xdr:colOff>
      <xdr:row>212</xdr:row>
      <xdr:rowOff>285748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0BA870-BDFA-4CF0-9BA8-8AA0A715A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4502493" y="55703560"/>
          <a:ext cx="7133114" cy="69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21</xdr:col>
      <xdr:colOff>610353</xdr:colOff>
      <xdr:row>209</xdr:row>
      <xdr:rowOff>81641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BAE9AF-D748-4518-82A2-24D8AC144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5490369" y="54345568"/>
          <a:ext cx="4931984" cy="1028698"/>
        </a:xfrm>
        <a:prstGeom prst="rect">
          <a:avLst/>
        </a:prstGeom>
      </xdr:spPr>
    </xdr:pic>
    <xdr:clientData/>
  </xdr:twoCellAnchor>
  <xdr:twoCellAnchor>
    <xdr:from>
      <xdr:col>3</xdr:col>
      <xdr:colOff>175935</xdr:colOff>
      <xdr:row>304</xdr:row>
      <xdr:rowOff>80876</xdr:rowOff>
    </xdr:from>
    <xdr:to>
      <xdr:col>4</xdr:col>
      <xdr:colOff>835018</xdr:colOff>
      <xdr:row>307</xdr:row>
      <xdr:rowOff>80876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D5A2907C-EE37-49AA-9782-15A7C8FE7A90}"/>
            </a:ext>
          </a:extLst>
        </xdr:cNvPr>
        <xdr:cNvSpPr/>
      </xdr:nvSpPr>
      <xdr:spPr>
        <a:xfrm>
          <a:off x="3909735" y="79776551"/>
          <a:ext cx="1821133" cy="714375"/>
        </a:xfrm>
        <a:prstGeom prst="righ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/>
            <a:t>Raw</a:t>
          </a:r>
          <a:r>
            <a:rPr lang="en-US" sz="2000" baseline="0"/>
            <a:t> Sewage</a:t>
          </a:r>
          <a:endParaRPr lang="en-VU" sz="2000"/>
        </a:p>
      </xdr:txBody>
    </xdr:sp>
    <xdr:clientData/>
  </xdr:twoCellAnchor>
  <xdr:twoCellAnchor>
    <xdr:from>
      <xdr:col>4</xdr:col>
      <xdr:colOff>858592</xdr:colOff>
      <xdr:row>303</xdr:row>
      <xdr:rowOff>147568</xdr:rowOff>
    </xdr:from>
    <xdr:to>
      <xdr:col>5</xdr:col>
      <xdr:colOff>934183</xdr:colOff>
      <xdr:row>308</xdr:row>
      <xdr:rowOff>53661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100C5C-D62A-473E-AD88-7636A56DBF50}"/>
            </a:ext>
          </a:extLst>
        </xdr:cNvPr>
        <xdr:cNvSpPr/>
      </xdr:nvSpPr>
      <xdr:spPr>
        <a:xfrm>
          <a:off x="5754442" y="79605118"/>
          <a:ext cx="1237641" cy="1096718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Pre- Treatment Facility</a:t>
          </a:r>
          <a:endParaRPr lang="en-VU" sz="1500"/>
        </a:p>
      </xdr:txBody>
    </xdr:sp>
    <xdr:clientData/>
  </xdr:twoCellAnchor>
  <xdr:twoCellAnchor>
    <xdr:from>
      <xdr:col>3</xdr:col>
      <xdr:colOff>764683</xdr:colOff>
      <xdr:row>299</xdr:row>
      <xdr:rowOff>147571</xdr:rowOff>
    </xdr:from>
    <xdr:to>
      <xdr:col>3</xdr:col>
      <xdr:colOff>775607</xdr:colOff>
      <xdr:row>305</xdr:row>
      <xdr:rowOff>27214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4CDD818E-8EA9-4B8E-848D-B7624706C36A}"/>
            </a:ext>
          </a:extLst>
        </xdr:cNvPr>
        <xdr:cNvCxnSpPr/>
      </xdr:nvCxnSpPr>
      <xdr:spPr>
        <a:xfrm flipH="1" flipV="1">
          <a:off x="4498483" y="78652621"/>
          <a:ext cx="10924" cy="130839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180034</xdr:colOff>
      <xdr:row>299</xdr:row>
      <xdr:rowOff>70566</xdr:rowOff>
    </xdr:from>
    <xdr:to>
      <xdr:col>4</xdr:col>
      <xdr:colOff>502007</xdr:colOff>
      <xdr:row>302</xdr:row>
      <xdr:rowOff>151060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C02E7408-A719-45FB-8F58-A7FE8F8B6E1A}"/>
            </a:ext>
          </a:extLst>
        </xdr:cNvPr>
        <xdr:cNvSpPr/>
      </xdr:nvSpPr>
      <xdr:spPr>
        <a:xfrm>
          <a:off x="3913834" y="78575616"/>
          <a:ext cx="1484023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Raw</a:t>
          </a:r>
          <a:r>
            <a:rPr lang="en-US" sz="1100" baseline="0"/>
            <a:t> Sewage 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32400</a:t>
          </a:r>
        </a:p>
        <a:p>
          <a:pPr algn="l"/>
          <a:r>
            <a:rPr lang="en-US" sz="1100" baseline="0"/>
            <a:t>TSS(kg/d)     =  12960</a:t>
          </a:r>
        </a:p>
        <a:p>
          <a:pPr algn="l"/>
          <a:r>
            <a:rPr lang="en-US" sz="1100" baseline="0"/>
            <a:t>BOD(kg/d)   =   9720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415558</xdr:colOff>
      <xdr:row>299</xdr:row>
      <xdr:rowOff>100743</xdr:rowOff>
    </xdr:from>
    <xdr:to>
      <xdr:col>5</xdr:col>
      <xdr:colOff>421298</xdr:colOff>
      <xdr:row>303</xdr:row>
      <xdr:rowOff>83455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E487D9F7-B049-4D94-945B-3C0A53E9E2E7}"/>
            </a:ext>
          </a:extLst>
        </xdr:cNvPr>
        <xdr:cNvCxnSpPr>
          <a:cxnSpLocks/>
        </xdr:cNvCxnSpPr>
      </xdr:nvCxnSpPr>
      <xdr:spPr>
        <a:xfrm flipV="1">
          <a:off x="6473458" y="78605793"/>
          <a:ext cx="5740" cy="93521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716656</xdr:colOff>
      <xdr:row>299</xdr:row>
      <xdr:rowOff>57150</xdr:rowOff>
    </xdr:from>
    <xdr:to>
      <xdr:col>5</xdr:col>
      <xdr:colOff>998381</xdr:colOff>
      <xdr:row>302</xdr:row>
      <xdr:rowOff>137644</xdr:rowOff>
    </xdr:to>
    <xdr:sp macro="" textlink="">
      <xdr:nvSpPr>
        <xdr:cNvPr id="13" name="Flowchart: Process 12">
          <a:extLst>
            <a:ext uri="{FF2B5EF4-FFF2-40B4-BE49-F238E27FC236}">
              <a16:creationId xmlns:a16="http://schemas.microsoft.com/office/drawing/2014/main" id="{153F2EE6-2915-4B9B-99D6-0FF5C62C7BE0}"/>
            </a:ext>
          </a:extLst>
        </xdr:cNvPr>
        <xdr:cNvSpPr/>
      </xdr:nvSpPr>
      <xdr:spPr>
        <a:xfrm>
          <a:off x="5612506" y="78562200"/>
          <a:ext cx="1443775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Grit Removal</a:t>
          </a:r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24</a:t>
          </a:r>
        </a:p>
        <a:p>
          <a:pPr algn="l"/>
          <a:r>
            <a:rPr lang="en-US" sz="1100" baseline="0"/>
            <a:t>TSS(kg/d)     =  648</a:t>
          </a:r>
        </a:p>
        <a:p>
          <a:pPr algn="l"/>
          <a:r>
            <a:rPr lang="en-US" sz="1100" baseline="0"/>
            <a:t>BOD(kg/d)   =   19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898838</xdr:colOff>
      <xdr:row>305</xdr:row>
      <xdr:rowOff>187817</xdr:rowOff>
    </xdr:from>
    <xdr:to>
      <xdr:col>7</xdr:col>
      <xdr:colOff>134155</xdr:colOff>
      <xdr:row>305</xdr:row>
      <xdr:rowOff>201232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4C2D3F68-E6F3-497B-A1FE-92E5E0C7F665}"/>
            </a:ext>
          </a:extLst>
        </xdr:cNvPr>
        <xdr:cNvCxnSpPr/>
      </xdr:nvCxnSpPr>
      <xdr:spPr>
        <a:xfrm>
          <a:off x="6956738" y="80121617"/>
          <a:ext cx="1321292" cy="1341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831760</xdr:colOff>
      <xdr:row>299</xdr:row>
      <xdr:rowOff>138412</xdr:rowOff>
    </xdr:from>
    <xdr:to>
      <xdr:col>6</xdr:col>
      <xdr:colOff>831760</xdr:colOff>
      <xdr:row>305</xdr:row>
      <xdr:rowOff>178658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FCF07CDD-EEB9-4D7B-A318-368CD743EFAD}"/>
            </a:ext>
          </a:extLst>
        </xdr:cNvPr>
        <xdr:cNvCxnSpPr/>
      </xdr:nvCxnSpPr>
      <xdr:spPr>
        <a:xfrm flipV="1">
          <a:off x="8004085" y="78643462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112959</xdr:colOff>
      <xdr:row>299</xdr:row>
      <xdr:rowOff>57150</xdr:rowOff>
    </xdr:from>
    <xdr:to>
      <xdr:col>7</xdr:col>
      <xdr:colOff>569087</xdr:colOff>
      <xdr:row>302</xdr:row>
      <xdr:rowOff>137644</xdr:rowOff>
    </xdr:to>
    <xdr:sp macro="" textlink="">
      <xdr:nvSpPr>
        <xdr:cNvPr id="16" name="Flowchart: Process 15">
          <a:extLst>
            <a:ext uri="{FF2B5EF4-FFF2-40B4-BE49-F238E27FC236}">
              <a16:creationId xmlns:a16="http://schemas.microsoft.com/office/drawing/2014/main" id="{70C44DC1-6D79-49D3-B7D4-964B2E94C038}"/>
            </a:ext>
          </a:extLst>
        </xdr:cNvPr>
        <xdr:cNvSpPr/>
      </xdr:nvSpPr>
      <xdr:spPr>
        <a:xfrm>
          <a:off x="7285284" y="78562200"/>
          <a:ext cx="1427678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Primary Settling Inlet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32812</a:t>
          </a:r>
        </a:p>
        <a:p>
          <a:pPr algn="l"/>
          <a:r>
            <a:rPr lang="en-US" sz="1100" baseline="0"/>
            <a:t>TSS(kg/d)     =  14211</a:t>
          </a:r>
        </a:p>
        <a:p>
          <a:pPr algn="l"/>
          <a:r>
            <a:rPr lang="en-US" sz="1100" baseline="0"/>
            <a:t>BOD(kg/d)   =   10581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8</xdr:col>
      <xdr:colOff>217715</xdr:colOff>
      <xdr:row>305</xdr:row>
      <xdr:rowOff>231321</xdr:rowOff>
    </xdr:from>
    <xdr:to>
      <xdr:col>10</xdr:col>
      <xdr:colOff>283068</xdr:colOff>
      <xdr:row>305</xdr:row>
      <xdr:rowOff>244736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B07A21AB-FBB7-483C-B761-67C7B755349A}"/>
            </a:ext>
          </a:extLst>
        </xdr:cNvPr>
        <xdr:cNvCxnSpPr/>
      </xdr:nvCxnSpPr>
      <xdr:spPr>
        <a:xfrm>
          <a:off x="9333140" y="80165121"/>
          <a:ext cx="1313128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176893</xdr:colOff>
      <xdr:row>303</xdr:row>
      <xdr:rowOff>136070</xdr:rowOff>
    </xdr:from>
    <xdr:to>
      <xdr:col>8</xdr:col>
      <xdr:colOff>421821</xdr:colOff>
      <xdr:row>308</xdr:row>
      <xdr:rowOff>108856</xdr:rowOff>
    </xdr:to>
    <xdr:sp macro="" textlink="">
      <xdr:nvSpPr>
        <xdr:cNvPr id="18" name="Flowchart: Connector 17">
          <a:extLst>
            <a:ext uri="{FF2B5EF4-FFF2-40B4-BE49-F238E27FC236}">
              <a16:creationId xmlns:a16="http://schemas.microsoft.com/office/drawing/2014/main" id="{63F2F7CB-429F-4025-BBA6-057A5A793B31}"/>
            </a:ext>
          </a:extLst>
        </xdr:cNvPr>
        <xdr:cNvSpPr/>
      </xdr:nvSpPr>
      <xdr:spPr>
        <a:xfrm>
          <a:off x="8320768" y="79593620"/>
          <a:ext cx="1216478" cy="1163411"/>
        </a:xfrm>
        <a:prstGeom prst="flowChart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500"/>
            <a:t>Primary </a:t>
          </a:r>
        </a:p>
        <a:p>
          <a:pPr algn="l"/>
          <a:r>
            <a:rPr lang="en-US" sz="1500"/>
            <a:t>Settling</a:t>
          </a:r>
          <a:endParaRPr lang="en-VU" sz="1500"/>
        </a:p>
      </xdr:txBody>
    </xdr:sp>
    <xdr:clientData/>
  </xdr:twoCellAnchor>
  <xdr:twoCellAnchor>
    <xdr:from>
      <xdr:col>10</xdr:col>
      <xdr:colOff>312964</xdr:colOff>
      <xdr:row>304</xdr:row>
      <xdr:rowOff>136071</xdr:rowOff>
    </xdr:from>
    <xdr:to>
      <xdr:col>11</xdr:col>
      <xdr:colOff>1034142</xdr:colOff>
      <xdr:row>307</xdr:row>
      <xdr:rowOff>176892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53B2CF26-93DF-4817-92CA-5AF6462BD0E3}"/>
            </a:ext>
          </a:extLst>
        </xdr:cNvPr>
        <xdr:cNvSpPr/>
      </xdr:nvSpPr>
      <xdr:spPr>
        <a:xfrm>
          <a:off x="10676164" y="79831746"/>
          <a:ext cx="1330778" cy="75519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500"/>
        </a:p>
        <a:p>
          <a:pPr algn="ctr"/>
          <a:r>
            <a:rPr lang="en-US" sz="1500"/>
            <a:t>Aeration</a:t>
          </a:r>
          <a:r>
            <a:rPr lang="en-US" sz="1500" baseline="0"/>
            <a:t> Tank</a:t>
          </a:r>
          <a:endParaRPr lang="en-VU" sz="1500"/>
        </a:p>
      </xdr:txBody>
    </xdr:sp>
    <xdr:clientData/>
  </xdr:twoCellAnchor>
  <xdr:twoCellAnchor>
    <xdr:from>
      <xdr:col>9</xdr:col>
      <xdr:colOff>312965</xdr:colOff>
      <xdr:row>299</xdr:row>
      <xdr:rowOff>131097</xdr:rowOff>
    </xdr:from>
    <xdr:to>
      <xdr:col>9</xdr:col>
      <xdr:colOff>312965</xdr:colOff>
      <xdr:row>305</xdr:row>
      <xdr:rowOff>171343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AC8B8EF8-FBF2-4524-A64D-4CCE7F786696}"/>
            </a:ext>
          </a:extLst>
        </xdr:cNvPr>
        <xdr:cNvCxnSpPr/>
      </xdr:nvCxnSpPr>
      <xdr:spPr>
        <a:xfrm flipV="1">
          <a:off x="10066565" y="78636147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277586</xdr:colOff>
      <xdr:row>299</xdr:row>
      <xdr:rowOff>70758</xdr:rowOff>
    </xdr:from>
    <xdr:to>
      <xdr:col>10</xdr:col>
      <xdr:colOff>447964</xdr:colOff>
      <xdr:row>302</xdr:row>
      <xdr:rowOff>151252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64A08E11-02E5-4505-A6F3-5B23E3720C15}"/>
            </a:ext>
          </a:extLst>
        </xdr:cNvPr>
        <xdr:cNvSpPr/>
      </xdr:nvSpPr>
      <xdr:spPr>
        <a:xfrm>
          <a:off x="9393011" y="78575808"/>
          <a:ext cx="1418153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Aeration Tank Inlet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32634</a:t>
          </a:r>
        </a:p>
        <a:p>
          <a:pPr algn="l"/>
          <a:r>
            <a:rPr lang="en-US" sz="1100" baseline="0"/>
            <a:t>TSS(kg/d)     =  7105</a:t>
          </a:r>
        </a:p>
        <a:p>
          <a:pPr algn="l"/>
          <a:r>
            <a:rPr lang="en-US" sz="1100" baseline="0"/>
            <a:t>BOD(kg/d)   =   7089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11</xdr:col>
      <xdr:colOff>938892</xdr:colOff>
      <xdr:row>306</xdr:row>
      <xdr:rowOff>-1</xdr:rowOff>
    </xdr:from>
    <xdr:to>
      <xdr:col>11</xdr:col>
      <xdr:colOff>1562139</xdr:colOff>
      <xdr:row>306</xdr:row>
      <xdr:rowOff>3889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F694F93E-EC83-4ABA-A546-CC88EE741CC9}"/>
            </a:ext>
          </a:extLst>
        </xdr:cNvPr>
        <xdr:cNvCxnSpPr/>
      </xdr:nvCxnSpPr>
      <xdr:spPr>
        <a:xfrm>
          <a:off x="11911692" y="80171924"/>
          <a:ext cx="623247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1578429</xdr:colOff>
      <xdr:row>304</xdr:row>
      <xdr:rowOff>122465</xdr:rowOff>
    </xdr:from>
    <xdr:to>
      <xdr:col>13</xdr:col>
      <xdr:colOff>462643</xdr:colOff>
      <xdr:row>307</xdr:row>
      <xdr:rowOff>217714</xdr:rowOff>
    </xdr:to>
    <xdr:sp macro="" textlink="">
      <xdr:nvSpPr>
        <xdr:cNvPr id="23" name="Flowchart: Off-page Connector 22">
          <a:extLst>
            <a:ext uri="{FF2B5EF4-FFF2-40B4-BE49-F238E27FC236}">
              <a16:creationId xmlns:a16="http://schemas.microsoft.com/office/drawing/2014/main" id="{58293F5B-C5F5-457B-BD3E-7F84391F8D85}"/>
            </a:ext>
          </a:extLst>
        </xdr:cNvPr>
        <xdr:cNvSpPr/>
      </xdr:nvSpPr>
      <xdr:spPr>
        <a:xfrm>
          <a:off x="12551229" y="79818140"/>
          <a:ext cx="1370239" cy="809624"/>
        </a:xfrm>
        <a:prstGeom prst="flowChartOffpage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   Secondary Clarifier</a:t>
          </a:r>
          <a:endParaRPr lang="en-VU" sz="1500"/>
        </a:p>
      </xdr:txBody>
    </xdr:sp>
    <xdr:clientData/>
  </xdr:twoCellAnchor>
  <xdr:twoCellAnchor>
    <xdr:from>
      <xdr:col>12</xdr:col>
      <xdr:colOff>405653</xdr:colOff>
      <xdr:row>307</xdr:row>
      <xdr:rowOff>122464</xdr:rowOff>
    </xdr:from>
    <xdr:to>
      <xdr:col>12</xdr:col>
      <xdr:colOff>406453</xdr:colOff>
      <xdr:row>309</xdr:row>
      <xdr:rowOff>112059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0C55FB16-D9CC-45BC-8FFE-659BB3B43F7D}"/>
            </a:ext>
          </a:extLst>
        </xdr:cNvPr>
        <xdr:cNvCxnSpPr/>
      </xdr:nvCxnSpPr>
      <xdr:spPr>
        <a:xfrm flipH="1">
          <a:off x="13254878" y="80532514"/>
          <a:ext cx="800" cy="46584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309</xdr:row>
      <xdr:rowOff>106456</xdr:rowOff>
    </xdr:from>
    <xdr:to>
      <xdr:col>12</xdr:col>
      <xdr:colOff>405653</xdr:colOff>
      <xdr:row>309</xdr:row>
      <xdr:rowOff>106456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2A0C28B8-58DC-4C3F-A3B3-FF8F02BDAC21}"/>
            </a:ext>
          </a:extLst>
        </xdr:cNvPr>
        <xdr:cNvCxnSpPr/>
      </xdr:nvCxnSpPr>
      <xdr:spPr>
        <a:xfrm flipH="1">
          <a:off x="11372850" y="80992756"/>
          <a:ext cx="188202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387084</xdr:colOff>
      <xdr:row>307</xdr:row>
      <xdr:rowOff>81642</xdr:rowOff>
    </xdr:from>
    <xdr:to>
      <xdr:col>11</xdr:col>
      <xdr:colOff>396455</xdr:colOff>
      <xdr:row>309</xdr:row>
      <xdr:rowOff>106932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D8E99BA2-4A51-4BA3-9CC4-B4B25E28786C}"/>
            </a:ext>
          </a:extLst>
        </xdr:cNvPr>
        <xdr:cNvCxnSpPr/>
      </xdr:nvCxnSpPr>
      <xdr:spPr>
        <a:xfrm flipH="1" flipV="1">
          <a:off x="11359884" y="80491692"/>
          <a:ext cx="9371" cy="5015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219808</xdr:colOff>
      <xdr:row>303</xdr:row>
      <xdr:rowOff>164854</xdr:rowOff>
    </xdr:from>
    <xdr:to>
      <xdr:col>16</xdr:col>
      <xdr:colOff>31750</xdr:colOff>
      <xdr:row>308</xdr:row>
      <xdr:rowOff>79374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A563F805-120A-4DCE-93C6-48DC30E9C809}"/>
            </a:ext>
          </a:extLst>
        </xdr:cNvPr>
        <xdr:cNvSpPr/>
      </xdr:nvSpPr>
      <xdr:spPr>
        <a:xfrm>
          <a:off x="14450158" y="79622404"/>
          <a:ext cx="1031142" cy="110514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Tertiary</a:t>
          </a:r>
          <a:r>
            <a:rPr lang="en-US" sz="1500" baseline="0"/>
            <a:t> </a:t>
          </a:r>
        </a:p>
        <a:p>
          <a:pPr algn="ctr"/>
          <a:r>
            <a:rPr lang="en-US" sz="1500" baseline="0"/>
            <a:t>Treatment</a:t>
          </a:r>
          <a:endParaRPr lang="en-VU" sz="1500"/>
        </a:p>
      </xdr:txBody>
    </xdr:sp>
    <xdr:clientData/>
  </xdr:twoCellAnchor>
  <xdr:twoCellAnchor>
    <xdr:from>
      <xdr:col>13</xdr:col>
      <xdr:colOff>348029</xdr:colOff>
      <xdr:row>305</xdr:row>
      <xdr:rowOff>192332</xdr:rowOff>
    </xdr:from>
    <xdr:to>
      <xdr:col>14</xdr:col>
      <xdr:colOff>201949</xdr:colOff>
      <xdr:row>305</xdr:row>
      <xdr:rowOff>196222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8B7E181D-E4E8-4829-8DA7-CC9685CEDB86}"/>
            </a:ext>
          </a:extLst>
        </xdr:cNvPr>
        <xdr:cNvCxnSpPr/>
      </xdr:nvCxnSpPr>
      <xdr:spPr>
        <a:xfrm>
          <a:off x="13806854" y="80126132"/>
          <a:ext cx="625445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659423</xdr:colOff>
      <xdr:row>299</xdr:row>
      <xdr:rowOff>137380</xdr:rowOff>
    </xdr:from>
    <xdr:to>
      <xdr:col>13</xdr:col>
      <xdr:colOff>659423</xdr:colOff>
      <xdr:row>305</xdr:row>
      <xdr:rowOff>177626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B01972D6-AED0-48F2-A83F-F1C3E0C41483}"/>
            </a:ext>
          </a:extLst>
        </xdr:cNvPr>
        <xdr:cNvCxnSpPr/>
      </xdr:nvCxnSpPr>
      <xdr:spPr>
        <a:xfrm flipV="1">
          <a:off x="14118248" y="78642430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557763</xdr:colOff>
      <xdr:row>299</xdr:row>
      <xdr:rowOff>142874</xdr:rowOff>
    </xdr:from>
    <xdr:to>
      <xdr:col>16</xdr:col>
      <xdr:colOff>557763</xdr:colOff>
      <xdr:row>305</xdr:row>
      <xdr:rowOff>183120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EE8AFB09-5769-4685-BFB9-44C9EC49CFD5}"/>
            </a:ext>
          </a:extLst>
        </xdr:cNvPr>
        <xdr:cNvCxnSpPr/>
      </xdr:nvCxnSpPr>
      <xdr:spPr>
        <a:xfrm flipV="1">
          <a:off x="16007313" y="78647924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605203</xdr:colOff>
      <xdr:row>299</xdr:row>
      <xdr:rowOff>75466</xdr:rowOff>
    </xdr:from>
    <xdr:to>
      <xdr:col>15</xdr:col>
      <xdr:colOff>33731</xdr:colOff>
      <xdr:row>302</xdr:row>
      <xdr:rowOff>155960</xdr:rowOff>
    </xdr:to>
    <xdr:sp macro="" textlink="">
      <xdr:nvSpPr>
        <xdr:cNvPr id="31" name="Flowchart: Process 30">
          <a:extLst>
            <a:ext uri="{FF2B5EF4-FFF2-40B4-BE49-F238E27FC236}">
              <a16:creationId xmlns:a16="http://schemas.microsoft.com/office/drawing/2014/main" id="{A572425D-3AD6-4C90-A302-EFA8F6D1D4D9}"/>
            </a:ext>
          </a:extLst>
        </xdr:cNvPr>
        <xdr:cNvSpPr/>
      </xdr:nvSpPr>
      <xdr:spPr>
        <a:xfrm>
          <a:off x="13454428" y="78580516"/>
          <a:ext cx="1419253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Clarifier Outlet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32381</a:t>
          </a:r>
        </a:p>
        <a:p>
          <a:pPr algn="l"/>
          <a:r>
            <a:rPr lang="en-US" sz="1100" baseline="0"/>
            <a:t>TSS(kg/d)     =  984</a:t>
          </a:r>
        </a:p>
        <a:p>
          <a:pPr algn="l"/>
          <a:r>
            <a:rPr lang="en-US" sz="1100" baseline="0"/>
            <a:t>BOD(kg/d)   =   656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15</xdr:col>
      <xdr:colOff>505375</xdr:colOff>
      <xdr:row>299</xdr:row>
      <xdr:rowOff>75468</xdr:rowOff>
    </xdr:from>
    <xdr:to>
      <xdr:col>17</xdr:col>
      <xdr:colOff>547532</xdr:colOff>
      <xdr:row>302</xdr:row>
      <xdr:rowOff>155962</xdr:rowOff>
    </xdr:to>
    <xdr:sp macro="" textlink="">
      <xdr:nvSpPr>
        <xdr:cNvPr id="32" name="Flowchart: Process 31">
          <a:extLst>
            <a:ext uri="{FF2B5EF4-FFF2-40B4-BE49-F238E27FC236}">
              <a16:creationId xmlns:a16="http://schemas.microsoft.com/office/drawing/2014/main" id="{220D81F1-D7AE-4A50-9E21-A7E79A8F708D}"/>
            </a:ext>
          </a:extLst>
        </xdr:cNvPr>
        <xdr:cNvSpPr/>
      </xdr:nvSpPr>
      <xdr:spPr>
        <a:xfrm>
          <a:off x="15345325" y="78580518"/>
          <a:ext cx="1499482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Effluent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32381</a:t>
          </a:r>
        </a:p>
        <a:p>
          <a:pPr algn="l"/>
          <a:r>
            <a:rPr lang="en-US" sz="1100" baseline="0"/>
            <a:t>TSS(kg/d)     =  324</a:t>
          </a:r>
        </a:p>
        <a:p>
          <a:pPr algn="l"/>
          <a:r>
            <a:rPr lang="en-US" sz="1100" baseline="0"/>
            <a:t>BOD(kg/d)   =   324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16</xdr:col>
      <xdr:colOff>195603</xdr:colOff>
      <xdr:row>304</xdr:row>
      <xdr:rowOff>95250</xdr:rowOff>
    </xdr:from>
    <xdr:to>
      <xdr:col>19</xdr:col>
      <xdr:colOff>0</xdr:colOff>
      <xdr:row>307</xdr:row>
      <xdr:rowOff>95250</xdr:rowOff>
    </xdr:to>
    <xdr:sp macro="" textlink="">
      <xdr:nvSpPr>
        <xdr:cNvPr id="33" name="Arrow: Right 32">
          <a:extLst>
            <a:ext uri="{FF2B5EF4-FFF2-40B4-BE49-F238E27FC236}">
              <a16:creationId xmlns:a16="http://schemas.microsoft.com/office/drawing/2014/main" id="{EA857BA9-11A0-440C-87EB-85EA9741ACF0}"/>
            </a:ext>
          </a:extLst>
        </xdr:cNvPr>
        <xdr:cNvSpPr/>
      </xdr:nvSpPr>
      <xdr:spPr>
        <a:xfrm>
          <a:off x="15645153" y="79790925"/>
          <a:ext cx="2452347" cy="714375"/>
        </a:xfrm>
        <a:prstGeom prst="righ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/>
            <a:t>Treated</a:t>
          </a:r>
          <a:r>
            <a:rPr lang="en-US" sz="2000" baseline="0"/>
            <a:t> Sewage</a:t>
          </a:r>
          <a:endParaRPr lang="en-VU" sz="2000"/>
        </a:p>
      </xdr:txBody>
    </xdr:sp>
    <xdr:clientData/>
  </xdr:twoCellAnchor>
  <xdr:twoCellAnchor>
    <xdr:from>
      <xdr:col>11</xdr:col>
      <xdr:colOff>381000</xdr:colOff>
      <xdr:row>309</xdr:row>
      <xdr:rowOff>133350</xdr:rowOff>
    </xdr:from>
    <xdr:to>
      <xdr:col>11</xdr:col>
      <xdr:colOff>392906</xdr:colOff>
      <xdr:row>315</xdr:row>
      <xdr:rowOff>38099</xdr:rowOff>
    </xdr:to>
    <xdr:cxnSp macro="">
      <xdr:nvCxnSpPr>
        <xdr:cNvPr id="34" name="Straight Connector 33">
          <a:extLst>
            <a:ext uri="{FF2B5EF4-FFF2-40B4-BE49-F238E27FC236}">
              <a16:creationId xmlns:a16="http://schemas.microsoft.com/office/drawing/2014/main" id="{2A1FBAF1-7D79-4619-AA1D-60C2877433F1}"/>
            </a:ext>
          </a:extLst>
        </xdr:cNvPr>
        <xdr:cNvCxnSpPr/>
      </xdr:nvCxnSpPr>
      <xdr:spPr>
        <a:xfrm>
          <a:off x="11353800" y="81019650"/>
          <a:ext cx="11906" cy="1333499"/>
        </a:xfrm>
        <a:prstGeom prst="line">
          <a:avLst/>
        </a:prstGeom>
        <a:ln w="9525" cap="flat" cmpd="sng" algn="ctr">
          <a:solidFill>
            <a:schemeClr val="accent5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179614</xdr:colOff>
      <xdr:row>315</xdr:row>
      <xdr:rowOff>195943</xdr:rowOff>
    </xdr:from>
    <xdr:to>
      <xdr:col>8</xdr:col>
      <xdr:colOff>334395</xdr:colOff>
      <xdr:row>320</xdr:row>
      <xdr:rowOff>112600</xdr:rowOff>
    </xdr:to>
    <xdr:sp macro="" textlink="">
      <xdr:nvSpPr>
        <xdr:cNvPr id="35" name="Flowchart: Connector 34">
          <a:extLst>
            <a:ext uri="{FF2B5EF4-FFF2-40B4-BE49-F238E27FC236}">
              <a16:creationId xmlns:a16="http://schemas.microsoft.com/office/drawing/2014/main" id="{2D57E45D-4EE8-4095-AA23-98AE8F68496F}"/>
            </a:ext>
          </a:extLst>
        </xdr:cNvPr>
        <xdr:cNvSpPr/>
      </xdr:nvSpPr>
      <xdr:spPr>
        <a:xfrm>
          <a:off x="8323489" y="82510993"/>
          <a:ext cx="1126331" cy="1107282"/>
        </a:xfrm>
        <a:prstGeom prst="flowChart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/>
        </a:p>
        <a:p>
          <a:pPr algn="l"/>
          <a:r>
            <a:rPr lang="en-US" sz="1200"/>
            <a:t>Gravity Thickener</a:t>
          </a:r>
          <a:endParaRPr lang="en-VU" sz="1200"/>
        </a:p>
      </xdr:txBody>
    </xdr:sp>
    <xdr:clientData/>
  </xdr:twoCellAnchor>
  <xdr:twoCellAnchor>
    <xdr:from>
      <xdr:col>7</xdr:col>
      <xdr:colOff>740058</xdr:colOff>
      <xdr:row>306</xdr:row>
      <xdr:rowOff>30957</xdr:rowOff>
    </xdr:from>
    <xdr:to>
      <xdr:col>7</xdr:col>
      <xdr:colOff>747713</xdr:colOff>
      <xdr:row>315</xdr:row>
      <xdr:rowOff>195943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13EDF67F-4120-4588-9641-FA00F68870A9}"/>
            </a:ext>
          </a:extLst>
        </xdr:cNvPr>
        <xdr:cNvCxnSpPr>
          <a:endCxn id="35" idx="0"/>
        </xdr:cNvCxnSpPr>
      </xdr:nvCxnSpPr>
      <xdr:spPr>
        <a:xfrm flipH="1">
          <a:off x="8883933" y="80202882"/>
          <a:ext cx="7655" cy="2308111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808264</xdr:colOff>
      <xdr:row>309</xdr:row>
      <xdr:rowOff>192881</xdr:rowOff>
    </xdr:from>
    <xdr:to>
      <xdr:col>8</xdr:col>
      <xdr:colOff>542924</xdr:colOff>
      <xdr:row>309</xdr:row>
      <xdr:rowOff>194582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6BA42F67-9BD0-4021-89B3-708FCAE6B756}"/>
            </a:ext>
          </a:extLst>
        </xdr:cNvPr>
        <xdr:cNvCxnSpPr/>
      </xdr:nvCxnSpPr>
      <xdr:spPr>
        <a:xfrm flipV="1">
          <a:off x="8952139" y="81079181"/>
          <a:ext cx="706210" cy="1701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578644</xdr:colOff>
      <xdr:row>308</xdr:row>
      <xdr:rowOff>9866</xdr:rowOff>
    </xdr:from>
    <xdr:to>
      <xdr:col>11</xdr:col>
      <xdr:colOff>59871</xdr:colOff>
      <xdr:row>311</xdr:row>
      <xdr:rowOff>90360</xdr:rowOff>
    </xdr:to>
    <xdr:sp macro="" textlink="">
      <xdr:nvSpPr>
        <xdr:cNvPr id="38" name="Flowchart: Process 37">
          <a:extLst>
            <a:ext uri="{FF2B5EF4-FFF2-40B4-BE49-F238E27FC236}">
              <a16:creationId xmlns:a16="http://schemas.microsoft.com/office/drawing/2014/main" id="{B71547DA-C1BA-489C-AEA6-2565BDDF15B4}"/>
            </a:ext>
          </a:extLst>
        </xdr:cNvPr>
        <xdr:cNvSpPr/>
      </xdr:nvSpPr>
      <xdr:spPr>
        <a:xfrm>
          <a:off x="9694069" y="80658041"/>
          <a:ext cx="1338602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Primary Sludge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178</a:t>
          </a:r>
        </a:p>
        <a:p>
          <a:pPr algn="l"/>
          <a:r>
            <a:rPr lang="en-US" sz="1100" baseline="0"/>
            <a:t>TSS(kg/d)     =  7105</a:t>
          </a:r>
        </a:p>
        <a:p>
          <a:pPr algn="l"/>
          <a:r>
            <a:rPr lang="en-US" sz="1100" baseline="0"/>
            <a:t>BOD(kg/d)   =   3492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1048339</xdr:colOff>
      <xdr:row>302</xdr:row>
      <xdr:rowOff>198074</xdr:rowOff>
    </xdr:from>
    <xdr:to>
      <xdr:col>5</xdr:col>
      <xdr:colOff>1102259</xdr:colOff>
      <xdr:row>338</xdr:row>
      <xdr:rowOff>132760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240C5D38-8BC7-4C6B-9680-F60084A6EFDA}"/>
            </a:ext>
          </a:extLst>
        </xdr:cNvPr>
        <xdr:cNvCxnSpPr/>
      </xdr:nvCxnSpPr>
      <xdr:spPr>
        <a:xfrm flipH="1">
          <a:off x="7106239" y="79417499"/>
          <a:ext cx="53920" cy="850718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1090820</xdr:colOff>
      <xdr:row>318</xdr:row>
      <xdr:rowOff>28306</xdr:rowOff>
    </xdr:from>
    <xdr:to>
      <xdr:col>7</xdr:col>
      <xdr:colOff>241734</xdr:colOff>
      <xdr:row>318</xdr:row>
      <xdr:rowOff>31197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BAB6AA2C-218E-4388-B168-CFFCBE060B38}"/>
            </a:ext>
          </a:extLst>
        </xdr:cNvPr>
        <xdr:cNvCxnSpPr/>
      </xdr:nvCxnSpPr>
      <xdr:spPr>
        <a:xfrm flipH="1">
          <a:off x="7148720" y="83057731"/>
          <a:ext cx="1236889" cy="2891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485775</xdr:colOff>
      <xdr:row>312</xdr:row>
      <xdr:rowOff>161924</xdr:rowOff>
    </xdr:from>
    <xdr:to>
      <xdr:col>11</xdr:col>
      <xdr:colOff>971551</xdr:colOff>
      <xdr:row>317</xdr:row>
      <xdr:rowOff>57150</xdr:rowOff>
    </xdr:to>
    <xdr:sp macro="" textlink="">
      <xdr:nvSpPr>
        <xdr:cNvPr id="41" name="Dodecagon 40">
          <a:extLst>
            <a:ext uri="{FF2B5EF4-FFF2-40B4-BE49-F238E27FC236}">
              <a16:creationId xmlns:a16="http://schemas.microsoft.com/office/drawing/2014/main" id="{64C680E1-C057-4DBD-922C-522EC41036FA}"/>
            </a:ext>
          </a:extLst>
        </xdr:cNvPr>
        <xdr:cNvSpPr/>
      </xdr:nvSpPr>
      <xdr:spPr>
        <a:xfrm>
          <a:off x="10848975" y="81762599"/>
          <a:ext cx="1095376" cy="1085851"/>
        </a:xfrm>
        <a:prstGeom prst="dodecagon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/>
        </a:p>
        <a:p>
          <a:pPr algn="l"/>
          <a:r>
            <a:rPr lang="en-US" sz="1200"/>
            <a:t>Flotation</a:t>
          </a:r>
        </a:p>
        <a:p>
          <a:pPr algn="l"/>
          <a:r>
            <a:rPr lang="en-US" sz="1200"/>
            <a:t>Thickener</a:t>
          </a:r>
          <a:endParaRPr lang="en-VU" sz="1200"/>
        </a:p>
      </xdr:txBody>
    </xdr:sp>
    <xdr:clientData/>
  </xdr:twoCellAnchor>
  <xdr:twoCellAnchor>
    <xdr:from>
      <xdr:col>5</xdr:col>
      <xdr:colOff>1085850</xdr:colOff>
      <xdr:row>314</xdr:row>
      <xdr:rowOff>219075</xdr:rowOff>
    </xdr:from>
    <xdr:to>
      <xdr:col>10</xdr:col>
      <xdr:colOff>476250</xdr:colOff>
      <xdr:row>314</xdr:row>
      <xdr:rowOff>228600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48BB7FFC-6649-425B-A1CB-4D4D4FA7B088}"/>
            </a:ext>
          </a:extLst>
        </xdr:cNvPr>
        <xdr:cNvCxnSpPr/>
      </xdr:nvCxnSpPr>
      <xdr:spPr>
        <a:xfrm flipH="1" flipV="1">
          <a:off x="7143750" y="82296000"/>
          <a:ext cx="3695700" cy="9525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414608</xdr:colOff>
      <xdr:row>315</xdr:row>
      <xdr:rowOff>92904</xdr:rowOff>
    </xdr:from>
    <xdr:to>
      <xdr:col>11</xdr:col>
      <xdr:colOff>421702</xdr:colOff>
      <xdr:row>324</xdr:row>
      <xdr:rowOff>107652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279210A4-D6B2-4538-A23D-B86445A4FDB1}"/>
            </a:ext>
          </a:extLst>
        </xdr:cNvPr>
        <xdr:cNvCxnSpPr/>
      </xdr:nvCxnSpPr>
      <xdr:spPr>
        <a:xfrm>
          <a:off x="11387408" y="82407954"/>
          <a:ext cx="7094" cy="2157873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728960</xdr:colOff>
      <xdr:row>318</xdr:row>
      <xdr:rowOff>172555</xdr:rowOff>
    </xdr:from>
    <xdr:to>
      <xdr:col>7</xdr:col>
      <xdr:colOff>747983</xdr:colOff>
      <xdr:row>324</xdr:row>
      <xdr:rowOff>107652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ACE13D97-4A66-4BDC-A1CB-511A5458BCEF}"/>
            </a:ext>
          </a:extLst>
        </xdr:cNvPr>
        <xdr:cNvCxnSpPr/>
      </xdr:nvCxnSpPr>
      <xdr:spPr>
        <a:xfrm flipH="1">
          <a:off x="8872835" y="83201980"/>
          <a:ext cx="19023" cy="1363847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752186</xdr:colOff>
      <xdr:row>324</xdr:row>
      <xdr:rowOff>99970</xdr:rowOff>
    </xdr:from>
    <xdr:to>
      <xdr:col>8</xdr:col>
      <xdr:colOff>260391</xdr:colOff>
      <xdr:row>324</xdr:row>
      <xdr:rowOff>105375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72140BFB-6CEC-44E8-AEEA-EE62E87D1176}"/>
            </a:ext>
          </a:extLst>
        </xdr:cNvPr>
        <xdr:cNvCxnSpPr/>
      </xdr:nvCxnSpPr>
      <xdr:spPr>
        <a:xfrm flipH="1">
          <a:off x="8896061" y="84558145"/>
          <a:ext cx="479755" cy="5405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540302</xdr:colOff>
      <xdr:row>322</xdr:row>
      <xdr:rowOff>52717</xdr:rowOff>
    </xdr:from>
    <xdr:to>
      <xdr:col>10</xdr:col>
      <xdr:colOff>378378</xdr:colOff>
      <xdr:row>326</xdr:row>
      <xdr:rowOff>154229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D2C2A8C8-5DE3-4FB3-A91A-B822C9B21B52}"/>
            </a:ext>
          </a:extLst>
        </xdr:cNvPr>
        <xdr:cNvSpPr/>
      </xdr:nvSpPr>
      <xdr:spPr>
        <a:xfrm>
          <a:off x="9655727" y="84034642"/>
          <a:ext cx="1085851" cy="1054012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ctr"/>
          <a:r>
            <a:rPr lang="en-US" sz="1200"/>
            <a:t>Blending Tank</a:t>
          </a:r>
          <a:endParaRPr lang="en-VU" sz="1200"/>
        </a:p>
      </xdr:txBody>
    </xdr:sp>
    <xdr:clientData/>
  </xdr:twoCellAnchor>
  <xdr:twoCellAnchor>
    <xdr:from>
      <xdr:col>8</xdr:col>
      <xdr:colOff>283436</xdr:colOff>
      <xdr:row>324</xdr:row>
      <xdr:rowOff>99970</xdr:rowOff>
    </xdr:from>
    <xdr:to>
      <xdr:col>8</xdr:col>
      <xdr:colOff>540302</xdr:colOff>
      <xdr:row>324</xdr:row>
      <xdr:rowOff>103473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EC36D10D-0360-4C28-BFC4-05885688F483}"/>
            </a:ext>
          </a:extLst>
        </xdr:cNvPr>
        <xdr:cNvCxnSpPr>
          <a:endCxn id="46" idx="2"/>
        </xdr:cNvCxnSpPr>
      </xdr:nvCxnSpPr>
      <xdr:spPr>
        <a:xfrm>
          <a:off x="9398861" y="84558145"/>
          <a:ext cx="256866" cy="350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375227</xdr:colOff>
      <xdr:row>324</xdr:row>
      <xdr:rowOff>92125</xdr:rowOff>
    </xdr:from>
    <xdr:to>
      <xdr:col>11</xdr:col>
      <xdr:colOff>51377</xdr:colOff>
      <xdr:row>324</xdr:row>
      <xdr:rowOff>92125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CED74475-1EA3-4DBD-988D-B81818D51CC5}"/>
            </a:ext>
          </a:extLst>
        </xdr:cNvPr>
        <xdr:cNvCxnSpPr/>
      </xdr:nvCxnSpPr>
      <xdr:spPr>
        <a:xfrm flipH="1">
          <a:off x="10738427" y="84550300"/>
          <a:ext cx="285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79564</xdr:colOff>
      <xdr:row>324</xdr:row>
      <xdr:rowOff>88376</xdr:rowOff>
    </xdr:from>
    <xdr:to>
      <xdr:col>11</xdr:col>
      <xdr:colOff>422242</xdr:colOff>
      <xdr:row>324</xdr:row>
      <xdr:rowOff>93547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C14352F4-2B53-489C-8718-AB1498DAC17C}"/>
            </a:ext>
          </a:extLst>
        </xdr:cNvPr>
        <xdr:cNvCxnSpPr/>
      </xdr:nvCxnSpPr>
      <xdr:spPr>
        <a:xfrm flipH="1">
          <a:off x="11052364" y="84546551"/>
          <a:ext cx="342678" cy="5171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735806</xdr:colOff>
      <xdr:row>314</xdr:row>
      <xdr:rowOff>197643</xdr:rowOff>
    </xdr:from>
    <xdr:to>
      <xdr:col>7</xdr:col>
      <xdr:colOff>735806</xdr:colOff>
      <xdr:row>315</xdr:row>
      <xdr:rowOff>189705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2675F081-0E7A-4C67-82E5-B090A19AD1B4}"/>
            </a:ext>
          </a:extLst>
        </xdr:cNvPr>
        <xdr:cNvCxnSpPr/>
      </xdr:nvCxnSpPr>
      <xdr:spPr>
        <a:xfrm>
          <a:off x="8879681" y="82274568"/>
          <a:ext cx="0" cy="2301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381992</xdr:colOff>
      <xdr:row>311</xdr:row>
      <xdr:rowOff>172045</xdr:rowOff>
    </xdr:from>
    <xdr:to>
      <xdr:col>11</xdr:col>
      <xdr:colOff>381992</xdr:colOff>
      <xdr:row>312</xdr:row>
      <xdr:rowOff>164107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8C412888-12F1-4F51-9C00-E6CF8FC2016A}"/>
            </a:ext>
          </a:extLst>
        </xdr:cNvPr>
        <xdr:cNvCxnSpPr/>
      </xdr:nvCxnSpPr>
      <xdr:spPr>
        <a:xfrm>
          <a:off x="11354792" y="81534595"/>
          <a:ext cx="0" cy="2301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1076287</xdr:colOff>
      <xdr:row>314</xdr:row>
      <xdr:rowOff>221419</xdr:rowOff>
    </xdr:from>
    <xdr:to>
      <xdr:col>6</xdr:col>
      <xdr:colOff>247413</xdr:colOff>
      <xdr:row>314</xdr:row>
      <xdr:rowOff>221419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8AE4C133-7D7C-411E-B6A6-3F461A5EE076}"/>
            </a:ext>
          </a:extLst>
        </xdr:cNvPr>
        <xdr:cNvCxnSpPr/>
      </xdr:nvCxnSpPr>
      <xdr:spPr>
        <a:xfrm flipH="1">
          <a:off x="7134187" y="82298344"/>
          <a:ext cx="28555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1063003</xdr:colOff>
      <xdr:row>318</xdr:row>
      <xdr:rowOff>28687</xdr:rowOff>
    </xdr:from>
    <xdr:to>
      <xdr:col>6</xdr:col>
      <xdr:colOff>234129</xdr:colOff>
      <xdr:row>318</xdr:row>
      <xdr:rowOff>28687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7668377B-3EC7-42FF-A746-CF17176FDBE6}"/>
            </a:ext>
          </a:extLst>
        </xdr:cNvPr>
        <xdr:cNvCxnSpPr/>
      </xdr:nvCxnSpPr>
      <xdr:spPr>
        <a:xfrm flipH="1">
          <a:off x="7120903" y="83058112"/>
          <a:ext cx="28555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1084495</xdr:colOff>
      <xdr:row>305</xdr:row>
      <xdr:rowOff>189957</xdr:rowOff>
    </xdr:from>
    <xdr:to>
      <xdr:col>5</xdr:col>
      <xdr:colOff>1084495</xdr:colOff>
      <xdr:row>306</xdr:row>
      <xdr:rowOff>202164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1A5EA0E4-A43D-4C30-B20B-EAC28A9F0156}"/>
            </a:ext>
          </a:extLst>
        </xdr:cNvPr>
        <xdr:cNvCxnSpPr/>
      </xdr:nvCxnSpPr>
      <xdr:spPr>
        <a:xfrm flipV="1">
          <a:off x="7142395" y="80123757"/>
          <a:ext cx="0" cy="25033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409575</xdr:colOff>
      <xdr:row>323</xdr:row>
      <xdr:rowOff>223199</xdr:rowOff>
    </xdr:from>
    <xdr:to>
      <xdr:col>9</xdr:col>
      <xdr:colOff>419100</xdr:colOff>
      <xdr:row>328</xdr:row>
      <xdr:rowOff>166050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CBDA5F9B-24A4-4F0D-B5CD-D61E09110415}"/>
            </a:ext>
          </a:extLst>
        </xdr:cNvPr>
        <xdr:cNvCxnSpPr/>
      </xdr:nvCxnSpPr>
      <xdr:spPr>
        <a:xfrm flipH="1">
          <a:off x="10163175" y="84443249"/>
          <a:ext cx="9525" cy="113347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428624</xdr:colOff>
      <xdr:row>328</xdr:row>
      <xdr:rowOff>156525</xdr:rowOff>
    </xdr:from>
    <xdr:to>
      <xdr:col>10</xdr:col>
      <xdr:colOff>409574</xdr:colOff>
      <xdr:row>333</xdr:row>
      <xdr:rowOff>204149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D85BEB1E-5869-40DC-B121-0ADF63CD5B71}"/>
            </a:ext>
          </a:extLst>
        </xdr:cNvPr>
        <xdr:cNvSpPr/>
      </xdr:nvSpPr>
      <xdr:spPr>
        <a:xfrm>
          <a:off x="9544049" y="85567200"/>
          <a:ext cx="1228725" cy="1238249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ctr"/>
          <a:r>
            <a:rPr lang="en-US" sz="1300"/>
            <a:t>Anaerobic Digestor</a:t>
          </a:r>
        </a:p>
        <a:p>
          <a:pPr algn="ctr"/>
          <a:endParaRPr lang="en-VU" sz="1200"/>
        </a:p>
      </xdr:txBody>
    </xdr:sp>
    <xdr:clientData/>
  </xdr:twoCellAnchor>
  <xdr:twoCellAnchor>
    <xdr:from>
      <xdr:col>5</xdr:col>
      <xdr:colOff>1047750</xdr:colOff>
      <xdr:row>331</xdr:row>
      <xdr:rowOff>44679</xdr:rowOff>
    </xdr:from>
    <xdr:to>
      <xdr:col>8</xdr:col>
      <xdr:colOff>428624</xdr:colOff>
      <xdr:row>331</xdr:row>
      <xdr:rowOff>63729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8E6386FA-783D-420D-BEA5-7696CB2A0538}"/>
            </a:ext>
          </a:extLst>
        </xdr:cNvPr>
        <xdr:cNvCxnSpPr>
          <a:stCxn id="56" idx="2"/>
        </xdr:cNvCxnSpPr>
      </xdr:nvCxnSpPr>
      <xdr:spPr>
        <a:xfrm flipH="1" flipV="1">
          <a:off x="7105650" y="86169729"/>
          <a:ext cx="2438399" cy="19050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353014</xdr:colOff>
      <xdr:row>336</xdr:row>
      <xdr:rowOff>235080</xdr:rowOff>
    </xdr:from>
    <xdr:to>
      <xdr:col>10</xdr:col>
      <xdr:colOff>486364</xdr:colOff>
      <xdr:row>340</xdr:row>
      <xdr:rowOff>56559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69E51F58-23C0-4D87-B620-BAF6A56DBC2A}"/>
            </a:ext>
          </a:extLst>
        </xdr:cNvPr>
        <xdr:cNvSpPr/>
      </xdr:nvSpPr>
      <xdr:spPr>
        <a:xfrm>
          <a:off x="9468439" y="87550755"/>
          <a:ext cx="1381125" cy="773979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Biosolids Dewatering</a:t>
          </a:r>
          <a:endParaRPr lang="en-VU" sz="1400"/>
        </a:p>
      </xdr:txBody>
    </xdr:sp>
    <xdr:clientData/>
  </xdr:twoCellAnchor>
  <xdr:twoCellAnchor>
    <xdr:from>
      <xdr:col>5</xdr:col>
      <xdr:colOff>1048339</xdr:colOff>
      <xdr:row>338</xdr:row>
      <xdr:rowOff>132760</xdr:rowOff>
    </xdr:from>
    <xdr:to>
      <xdr:col>8</xdr:col>
      <xdr:colOff>353014</xdr:colOff>
      <xdr:row>338</xdr:row>
      <xdr:rowOff>147048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86ED1014-04A0-4889-8C68-F438CBD54318}"/>
            </a:ext>
          </a:extLst>
        </xdr:cNvPr>
        <xdr:cNvCxnSpPr>
          <a:stCxn id="58" idx="1"/>
        </xdr:cNvCxnSpPr>
      </xdr:nvCxnSpPr>
      <xdr:spPr>
        <a:xfrm flipH="1" flipV="1">
          <a:off x="7106239" y="87924685"/>
          <a:ext cx="2362200" cy="14288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400639</xdr:colOff>
      <xdr:row>331</xdr:row>
      <xdr:rowOff>232723</xdr:rowOff>
    </xdr:from>
    <xdr:to>
      <xdr:col>9</xdr:col>
      <xdr:colOff>410164</xdr:colOff>
      <xdr:row>336</xdr:row>
      <xdr:rowOff>175574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D7506B78-809E-4C27-9325-FF840BEAFA8D}"/>
            </a:ext>
          </a:extLst>
        </xdr:cNvPr>
        <xdr:cNvCxnSpPr/>
      </xdr:nvCxnSpPr>
      <xdr:spPr>
        <a:xfrm flipH="1">
          <a:off x="10154239" y="86357773"/>
          <a:ext cx="9525" cy="113347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331</xdr:row>
      <xdr:rowOff>141976</xdr:rowOff>
    </xdr:from>
    <xdr:to>
      <xdr:col>11</xdr:col>
      <xdr:colOff>408421</xdr:colOff>
      <xdr:row>331</xdr:row>
      <xdr:rowOff>145969</xdr:rowOff>
    </xdr:to>
    <xdr:cxnSp macro="">
      <xdr:nvCxnSpPr>
        <xdr:cNvPr id="61" name="Straight Connector 60">
          <a:extLst>
            <a:ext uri="{FF2B5EF4-FFF2-40B4-BE49-F238E27FC236}">
              <a16:creationId xmlns:a16="http://schemas.microsoft.com/office/drawing/2014/main" id="{981FF0DD-C62B-4F87-908C-F77B559B73A2}"/>
            </a:ext>
          </a:extLst>
        </xdr:cNvPr>
        <xdr:cNvCxnSpPr/>
      </xdr:nvCxnSpPr>
      <xdr:spPr>
        <a:xfrm flipH="1" flipV="1">
          <a:off x="10820400" y="86267026"/>
          <a:ext cx="560821" cy="3993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196352</xdr:colOff>
      <xdr:row>331</xdr:row>
      <xdr:rowOff>141459</xdr:rowOff>
    </xdr:from>
    <xdr:to>
      <xdr:col>11</xdr:col>
      <xdr:colOff>408932</xdr:colOff>
      <xdr:row>331</xdr:row>
      <xdr:rowOff>146799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12156970-800C-41DC-BCAA-3C4456A180B3}"/>
            </a:ext>
          </a:extLst>
        </xdr:cNvPr>
        <xdr:cNvCxnSpPr/>
      </xdr:nvCxnSpPr>
      <xdr:spPr>
        <a:xfrm>
          <a:off x="11169152" y="86266509"/>
          <a:ext cx="212580" cy="53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495889</xdr:colOff>
      <xdr:row>338</xdr:row>
      <xdr:rowOff>132760</xdr:rowOff>
    </xdr:from>
    <xdr:to>
      <xdr:col>11</xdr:col>
      <xdr:colOff>1676989</xdr:colOff>
      <xdr:row>338</xdr:row>
      <xdr:rowOff>137523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EB5CF8B0-725E-48AB-BCE2-5B6EF1904793}"/>
            </a:ext>
          </a:extLst>
        </xdr:cNvPr>
        <xdr:cNvCxnSpPr/>
      </xdr:nvCxnSpPr>
      <xdr:spPr>
        <a:xfrm flipH="1">
          <a:off x="10859089" y="87924685"/>
          <a:ext cx="1790700" cy="4763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514350</xdr:colOff>
      <xdr:row>330</xdr:row>
      <xdr:rowOff>89129</xdr:rowOff>
    </xdr:from>
    <xdr:to>
      <xdr:col>12</xdr:col>
      <xdr:colOff>47625</xdr:colOff>
      <xdr:row>333</xdr:row>
      <xdr:rowOff>10474</xdr:rowOff>
    </xdr:to>
    <xdr:sp macro="" textlink="">
      <xdr:nvSpPr>
        <xdr:cNvPr id="64" name="Arrow: Right 63">
          <a:extLst>
            <a:ext uri="{FF2B5EF4-FFF2-40B4-BE49-F238E27FC236}">
              <a16:creationId xmlns:a16="http://schemas.microsoft.com/office/drawing/2014/main" id="{E02269ED-EB56-4A20-A43E-24A6364924E4}"/>
            </a:ext>
          </a:extLst>
        </xdr:cNvPr>
        <xdr:cNvSpPr/>
      </xdr:nvSpPr>
      <xdr:spPr>
        <a:xfrm>
          <a:off x="11487150" y="85976054"/>
          <a:ext cx="1409700" cy="635720"/>
        </a:xfrm>
        <a:prstGeom prst="rightArrow">
          <a:avLst/>
        </a:prstGeom>
        <a:ln>
          <a:solidFill>
            <a:schemeClr val="accent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    Biogas</a:t>
          </a:r>
          <a:endParaRPr lang="en-VU" sz="1600"/>
        </a:p>
      </xdr:txBody>
    </xdr:sp>
    <xdr:clientData/>
  </xdr:twoCellAnchor>
  <xdr:twoCellAnchor>
    <xdr:from>
      <xdr:col>11</xdr:col>
      <xdr:colOff>1457914</xdr:colOff>
      <xdr:row>337</xdr:row>
      <xdr:rowOff>75610</xdr:rowOff>
    </xdr:from>
    <xdr:to>
      <xdr:col>13</xdr:col>
      <xdr:colOff>381589</xdr:colOff>
      <xdr:row>339</xdr:row>
      <xdr:rowOff>235080</xdr:rowOff>
    </xdr:to>
    <xdr:sp macro="" textlink="">
      <xdr:nvSpPr>
        <xdr:cNvPr id="65" name="Arrow: Right 64">
          <a:extLst>
            <a:ext uri="{FF2B5EF4-FFF2-40B4-BE49-F238E27FC236}">
              <a16:creationId xmlns:a16="http://schemas.microsoft.com/office/drawing/2014/main" id="{7AFE465E-2079-4024-91B3-B8AB614096B4}"/>
            </a:ext>
          </a:extLst>
        </xdr:cNvPr>
        <xdr:cNvSpPr/>
      </xdr:nvSpPr>
      <xdr:spPr>
        <a:xfrm>
          <a:off x="12430714" y="87629410"/>
          <a:ext cx="1409700" cy="635720"/>
        </a:xfrm>
        <a:prstGeom prst="rightArrow">
          <a:avLst/>
        </a:prstGeom>
        <a:ln>
          <a:solidFill>
            <a:schemeClr val="accent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    Biosolids</a:t>
          </a:r>
          <a:endParaRPr lang="en-VU" sz="1600"/>
        </a:p>
      </xdr:txBody>
    </xdr:sp>
    <xdr:clientData/>
  </xdr:twoCellAnchor>
  <xdr:twoCellAnchor>
    <xdr:from>
      <xdr:col>11</xdr:col>
      <xdr:colOff>1227880</xdr:colOff>
      <xdr:row>338</xdr:row>
      <xdr:rowOff>128357</xdr:rowOff>
    </xdr:from>
    <xdr:to>
      <xdr:col>11</xdr:col>
      <xdr:colOff>1440460</xdr:colOff>
      <xdr:row>338</xdr:row>
      <xdr:rowOff>133697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87D4C00-6E7B-47C3-80FC-0B6771C36FB9}"/>
            </a:ext>
          </a:extLst>
        </xdr:cNvPr>
        <xdr:cNvCxnSpPr/>
      </xdr:nvCxnSpPr>
      <xdr:spPr>
        <a:xfrm>
          <a:off x="12200680" y="87920282"/>
          <a:ext cx="212580" cy="53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1062935</xdr:colOff>
      <xdr:row>331</xdr:row>
      <xdr:rowOff>46750</xdr:rowOff>
    </xdr:from>
    <xdr:to>
      <xdr:col>6</xdr:col>
      <xdr:colOff>239022</xdr:colOff>
      <xdr:row>331</xdr:row>
      <xdr:rowOff>46750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8CFC586B-FCCB-4FDA-A330-525ADB3A2089}"/>
            </a:ext>
          </a:extLst>
        </xdr:cNvPr>
        <xdr:cNvCxnSpPr/>
      </xdr:nvCxnSpPr>
      <xdr:spPr>
        <a:xfrm flipH="1">
          <a:off x="7120835" y="86171800"/>
          <a:ext cx="2905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1044362</xdr:colOff>
      <xdr:row>338</xdr:row>
      <xdr:rowOff>142027</xdr:rowOff>
    </xdr:from>
    <xdr:to>
      <xdr:col>6</xdr:col>
      <xdr:colOff>220449</xdr:colOff>
      <xdr:row>338</xdr:row>
      <xdr:rowOff>142027</xdr:rowOff>
    </xdr:to>
    <xdr:cxnSp macro="">
      <xdr:nvCxnSpPr>
        <xdr:cNvPr id="68" name="Straight Arrow Connector 67">
          <a:extLst>
            <a:ext uri="{FF2B5EF4-FFF2-40B4-BE49-F238E27FC236}">
              <a16:creationId xmlns:a16="http://schemas.microsoft.com/office/drawing/2014/main" id="{210F0DB6-6257-40C8-83A9-5A125496FFD0}"/>
            </a:ext>
          </a:extLst>
        </xdr:cNvPr>
        <xdr:cNvCxnSpPr/>
      </xdr:nvCxnSpPr>
      <xdr:spPr>
        <a:xfrm flipH="1">
          <a:off x="7102262" y="87933952"/>
          <a:ext cx="2905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407228</xdr:colOff>
      <xdr:row>327</xdr:row>
      <xdr:rowOff>151279</xdr:rowOff>
    </xdr:from>
    <xdr:to>
      <xdr:col>9</xdr:col>
      <xdr:colOff>407228</xdr:colOff>
      <xdr:row>328</xdr:row>
      <xdr:rowOff>143342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E8544DC3-A693-4ADB-8FD3-8A803C5AD0A3}"/>
            </a:ext>
          </a:extLst>
        </xdr:cNvPr>
        <xdr:cNvCxnSpPr/>
      </xdr:nvCxnSpPr>
      <xdr:spPr>
        <a:xfrm>
          <a:off x="10160828" y="85323829"/>
          <a:ext cx="0" cy="23018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407310</xdr:colOff>
      <xdr:row>335</xdr:row>
      <xdr:rowOff>233720</xdr:rowOff>
    </xdr:from>
    <xdr:to>
      <xdr:col>9</xdr:col>
      <xdr:colOff>407310</xdr:colOff>
      <xdr:row>336</xdr:row>
      <xdr:rowOff>234555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00A7DC89-BC84-4312-8A2E-72C4742C4922}"/>
            </a:ext>
          </a:extLst>
        </xdr:cNvPr>
        <xdr:cNvCxnSpPr/>
      </xdr:nvCxnSpPr>
      <xdr:spPr>
        <a:xfrm>
          <a:off x="10160910" y="87311270"/>
          <a:ext cx="0" cy="2389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423537</xdr:colOff>
      <xdr:row>311</xdr:row>
      <xdr:rowOff>35229</xdr:rowOff>
    </xdr:from>
    <xdr:to>
      <xdr:col>11</xdr:col>
      <xdr:colOff>1219461</xdr:colOff>
      <xdr:row>311</xdr:row>
      <xdr:rowOff>35229</xdr:rowOff>
    </xdr:to>
    <xdr:cxnSp macro="">
      <xdr:nvCxnSpPr>
        <xdr:cNvPr id="71" name="Straight Connector 70">
          <a:extLst>
            <a:ext uri="{FF2B5EF4-FFF2-40B4-BE49-F238E27FC236}">
              <a16:creationId xmlns:a16="http://schemas.microsoft.com/office/drawing/2014/main" id="{323872B8-5AF7-4966-9C80-C32D22CF35FF}"/>
            </a:ext>
          </a:extLst>
        </xdr:cNvPr>
        <xdr:cNvCxnSpPr/>
      </xdr:nvCxnSpPr>
      <xdr:spPr>
        <a:xfrm>
          <a:off x="11396337" y="81397779"/>
          <a:ext cx="795924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1219462</xdr:colOff>
      <xdr:row>309</xdr:row>
      <xdr:rowOff>191544</xdr:rowOff>
    </xdr:from>
    <xdr:to>
      <xdr:col>13</xdr:col>
      <xdr:colOff>293058</xdr:colOff>
      <xdr:row>314</xdr:row>
      <xdr:rowOff>17971</xdr:rowOff>
    </xdr:to>
    <xdr:sp macro="" textlink="">
      <xdr:nvSpPr>
        <xdr:cNvPr id="72" name="Flowchart: Process 71">
          <a:extLst>
            <a:ext uri="{FF2B5EF4-FFF2-40B4-BE49-F238E27FC236}">
              <a16:creationId xmlns:a16="http://schemas.microsoft.com/office/drawing/2014/main" id="{1B62FB21-AD69-4C00-A481-B68B8FB1C9A9}"/>
            </a:ext>
          </a:extLst>
        </xdr:cNvPr>
        <xdr:cNvSpPr/>
      </xdr:nvSpPr>
      <xdr:spPr>
        <a:xfrm>
          <a:off x="12192262" y="81077844"/>
          <a:ext cx="1559621" cy="101705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Waste Activated Sludge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253</a:t>
          </a:r>
        </a:p>
        <a:p>
          <a:pPr algn="l"/>
          <a:r>
            <a:rPr lang="en-US" sz="1100" baseline="0"/>
            <a:t>TSS(kg/d)     =  1770</a:t>
          </a:r>
        </a:p>
        <a:p>
          <a:pPr algn="l"/>
          <a:r>
            <a:rPr lang="en-US" sz="1100" baseline="0"/>
            <a:t>BOD(kg/d)   =   1342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363134</xdr:colOff>
      <xdr:row>310</xdr:row>
      <xdr:rowOff>129939</xdr:rowOff>
    </xdr:from>
    <xdr:to>
      <xdr:col>5</xdr:col>
      <xdr:colOff>1063342</xdr:colOff>
      <xdr:row>310</xdr:row>
      <xdr:rowOff>131640</xdr:rowOff>
    </xdr:to>
    <xdr:cxnSp macro="">
      <xdr:nvCxnSpPr>
        <xdr:cNvPr id="73" name="Straight Connector 72">
          <a:extLst>
            <a:ext uri="{FF2B5EF4-FFF2-40B4-BE49-F238E27FC236}">
              <a16:creationId xmlns:a16="http://schemas.microsoft.com/office/drawing/2014/main" id="{0E3A0224-CD38-4067-99CF-150B95E3410B}"/>
            </a:ext>
          </a:extLst>
        </xdr:cNvPr>
        <xdr:cNvCxnSpPr/>
      </xdr:nvCxnSpPr>
      <xdr:spPr>
        <a:xfrm flipV="1">
          <a:off x="6421034" y="81254364"/>
          <a:ext cx="700208" cy="1701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1067722</xdr:colOff>
      <xdr:row>309</xdr:row>
      <xdr:rowOff>429</xdr:rowOff>
    </xdr:from>
    <xdr:to>
      <xdr:col>5</xdr:col>
      <xdr:colOff>340182</xdr:colOff>
      <xdr:row>312</xdr:row>
      <xdr:rowOff>161745</xdr:rowOff>
    </xdr:to>
    <xdr:sp macro="" textlink="">
      <xdr:nvSpPr>
        <xdr:cNvPr id="74" name="Flowchart: Process 73">
          <a:extLst>
            <a:ext uri="{FF2B5EF4-FFF2-40B4-BE49-F238E27FC236}">
              <a16:creationId xmlns:a16="http://schemas.microsoft.com/office/drawing/2014/main" id="{3F03D447-4613-4482-AD1A-92C66D80791A}"/>
            </a:ext>
          </a:extLst>
        </xdr:cNvPr>
        <xdr:cNvSpPr/>
      </xdr:nvSpPr>
      <xdr:spPr>
        <a:xfrm>
          <a:off x="4801522" y="80886729"/>
          <a:ext cx="1596560" cy="87569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Return Flow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412</a:t>
          </a:r>
        </a:p>
        <a:p>
          <a:pPr algn="l"/>
          <a:r>
            <a:rPr lang="en-US" sz="1100" baseline="0"/>
            <a:t>TSS(kg/d)     =  1898</a:t>
          </a:r>
        </a:p>
        <a:p>
          <a:pPr algn="l"/>
          <a:r>
            <a:rPr lang="en-US" sz="1100" baseline="0"/>
            <a:t>BOD(kg/d)   =   866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6</xdr:col>
      <xdr:colOff>822021</xdr:colOff>
      <xdr:row>311</xdr:row>
      <xdr:rowOff>142483</xdr:rowOff>
    </xdr:from>
    <xdr:to>
      <xdr:col>6</xdr:col>
      <xdr:colOff>835069</xdr:colOff>
      <xdr:row>314</xdr:row>
      <xdr:rowOff>203484</xdr:rowOff>
    </xdr:to>
    <xdr:cxnSp macro="">
      <xdr:nvCxnSpPr>
        <xdr:cNvPr id="75" name="Straight Connector 74">
          <a:extLst>
            <a:ext uri="{FF2B5EF4-FFF2-40B4-BE49-F238E27FC236}">
              <a16:creationId xmlns:a16="http://schemas.microsoft.com/office/drawing/2014/main" id="{3B34710A-7918-4E27-95F4-92EAD256C194}"/>
            </a:ext>
          </a:extLst>
        </xdr:cNvPr>
        <xdr:cNvCxnSpPr>
          <a:cxnSpLocks/>
        </xdr:cNvCxnSpPr>
      </xdr:nvCxnSpPr>
      <xdr:spPr>
        <a:xfrm flipV="1">
          <a:off x="7994346" y="81505033"/>
          <a:ext cx="13048" cy="77537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227817</xdr:colOff>
      <xdr:row>308</xdr:row>
      <xdr:rowOff>151617</xdr:rowOff>
    </xdr:from>
    <xdr:to>
      <xdr:col>7</xdr:col>
      <xdr:colOff>609352</xdr:colOff>
      <xdr:row>311</xdr:row>
      <xdr:rowOff>244898</xdr:rowOff>
    </xdr:to>
    <xdr:sp macro="" textlink="">
      <xdr:nvSpPr>
        <xdr:cNvPr id="76" name="Flowchart: Process 75">
          <a:extLst>
            <a:ext uri="{FF2B5EF4-FFF2-40B4-BE49-F238E27FC236}">
              <a16:creationId xmlns:a16="http://schemas.microsoft.com/office/drawing/2014/main" id="{E672DA9C-72CF-4F34-BECF-60948FE16A15}"/>
            </a:ext>
          </a:extLst>
        </xdr:cNvPr>
        <xdr:cNvSpPr/>
      </xdr:nvSpPr>
      <xdr:spPr>
        <a:xfrm>
          <a:off x="7400142" y="80799792"/>
          <a:ext cx="1353085" cy="79813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Thickener Overflow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221</a:t>
          </a:r>
        </a:p>
        <a:p>
          <a:pPr algn="l"/>
          <a:r>
            <a:rPr lang="en-US" sz="1100" baseline="0"/>
            <a:t>TSS(kg/d)     =  177</a:t>
          </a:r>
        </a:p>
        <a:p>
          <a:pPr algn="l"/>
          <a:r>
            <a:rPr lang="en-US" sz="1100" baseline="0"/>
            <a:t>BOD(kg/d)   =   111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11</xdr:col>
      <xdr:colOff>437486</xdr:colOff>
      <xdr:row>319</xdr:row>
      <xdr:rowOff>48410</xdr:rowOff>
    </xdr:from>
    <xdr:to>
      <xdr:col>11</xdr:col>
      <xdr:colOff>1233410</xdr:colOff>
      <xdr:row>319</xdr:row>
      <xdr:rowOff>48410</xdr:rowOff>
    </xdr:to>
    <xdr:cxnSp macro="">
      <xdr:nvCxnSpPr>
        <xdr:cNvPr id="77" name="Straight Connector 76">
          <a:extLst>
            <a:ext uri="{FF2B5EF4-FFF2-40B4-BE49-F238E27FC236}">
              <a16:creationId xmlns:a16="http://schemas.microsoft.com/office/drawing/2014/main" id="{D2E9A6DE-7865-48AB-B9EC-B5566301BFF8}"/>
            </a:ext>
          </a:extLst>
        </xdr:cNvPr>
        <xdr:cNvCxnSpPr/>
      </xdr:nvCxnSpPr>
      <xdr:spPr>
        <a:xfrm>
          <a:off x="11410286" y="83315960"/>
          <a:ext cx="795924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1233411</xdr:colOff>
      <xdr:row>317</xdr:row>
      <xdr:rowOff>126698</xdr:rowOff>
    </xdr:from>
    <xdr:to>
      <xdr:col>13</xdr:col>
      <xdr:colOff>111287</xdr:colOff>
      <xdr:row>321</xdr:row>
      <xdr:rowOff>37569</xdr:rowOff>
    </xdr:to>
    <xdr:sp macro="" textlink="">
      <xdr:nvSpPr>
        <xdr:cNvPr id="78" name="Flowchart: Process 77">
          <a:extLst>
            <a:ext uri="{FF2B5EF4-FFF2-40B4-BE49-F238E27FC236}">
              <a16:creationId xmlns:a16="http://schemas.microsoft.com/office/drawing/2014/main" id="{F0918A81-E32B-45EF-B13B-B5DD942D5164}"/>
            </a:ext>
          </a:extLst>
        </xdr:cNvPr>
        <xdr:cNvSpPr/>
      </xdr:nvSpPr>
      <xdr:spPr>
        <a:xfrm>
          <a:off x="12206211" y="82917998"/>
          <a:ext cx="1363901" cy="86337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Thickened WAS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32</a:t>
          </a:r>
        </a:p>
        <a:p>
          <a:pPr algn="l"/>
          <a:r>
            <a:rPr lang="en-US" sz="1100" baseline="0"/>
            <a:t>TSS(kg/d)     =  1806</a:t>
          </a:r>
        </a:p>
        <a:p>
          <a:pPr algn="l"/>
          <a:r>
            <a:rPr lang="en-US" sz="1100" baseline="0"/>
            <a:t>BOD(kg/d)   =   1369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7</xdr:col>
      <xdr:colOff>790412</xdr:colOff>
      <xdr:row>320</xdr:row>
      <xdr:rowOff>194125</xdr:rowOff>
    </xdr:from>
    <xdr:to>
      <xdr:col>8</xdr:col>
      <xdr:colOff>618473</xdr:colOff>
      <xdr:row>320</xdr:row>
      <xdr:rowOff>194125</xdr:rowOff>
    </xdr:to>
    <xdr:cxnSp macro="">
      <xdr:nvCxnSpPr>
        <xdr:cNvPr id="79" name="Straight Connector 78">
          <a:extLst>
            <a:ext uri="{FF2B5EF4-FFF2-40B4-BE49-F238E27FC236}">
              <a16:creationId xmlns:a16="http://schemas.microsoft.com/office/drawing/2014/main" id="{EA53BD26-5F1D-44E7-BD2C-C4DFA3143727}"/>
            </a:ext>
          </a:extLst>
        </xdr:cNvPr>
        <xdr:cNvCxnSpPr/>
      </xdr:nvCxnSpPr>
      <xdr:spPr>
        <a:xfrm>
          <a:off x="8934287" y="83699800"/>
          <a:ext cx="799611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487888</xdr:colOff>
      <xdr:row>318</xdr:row>
      <xdr:rowOff>23155</xdr:rowOff>
    </xdr:from>
    <xdr:to>
      <xdr:col>11</xdr:col>
      <xdr:colOff>321842</xdr:colOff>
      <xdr:row>321</xdr:row>
      <xdr:rowOff>175603</xdr:rowOff>
    </xdr:to>
    <xdr:sp macro="" textlink="">
      <xdr:nvSpPr>
        <xdr:cNvPr id="80" name="Flowchart: Process 79">
          <a:extLst>
            <a:ext uri="{FF2B5EF4-FFF2-40B4-BE49-F238E27FC236}">
              <a16:creationId xmlns:a16="http://schemas.microsoft.com/office/drawing/2014/main" id="{B4BA1B35-6FAC-43B1-93B2-B1BE6E4D22E7}"/>
            </a:ext>
          </a:extLst>
        </xdr:cNvPr>
        <xdr:cNvSpPr/>
      </xdr:nvSpPr>
      <xdr:spPr>
        <a:xfrm>
          <a:off x="9603313" y="83052580"/>
          <a:ext cx="1691329" cy="866823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Thickened Primary Sludge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101</a:t>
          </a:r>
        </a:p>
        <a:p>
          <a:pPr algn="l"/>
          <a:r>
            <a:rPr lang="en-US" sz="1100" baseline="0"/>
            <a:t>TSS(kg/d)     =  6040</a:t>
          </a:r>
        </a:p>
        <a:p>
          <a:pPr algn="l"/>
          <a:r>
            <a:rPr lang="en-US" sz="1100" baseline="0"/>
            <a:t>BOD(kg/d)   =   3198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6</xdr:col>
      <xdr:colOff>110673</xdr:colOff>
      <xdr:row>320</xdr:row>
      <xdr:rowOff>234197</xdr:rowOff>
    </xdr:from>
    <xdr:to>
      <xdr:col>7</xdr:col>
      <xdr:colOff>492208</xdr:colOff>
      <xdr:row>324</xdr:row>
      <xdr:rowOff>79828</xdr:rowOff>
    </xdr:to>
    <xdr:sp macro="" textlink="">
      <xdr:nvSpPr>
        <xdr:cNvPr id="81" name="Flowchart: Process 80">
          <a:extLst>
            <a:ext uri="{FF2B5EF4-FFF2-40B4-BE49-F238E27FC236}">
              <a16:creationId xmlns:a16="http://schemas.microsoft.com/office/drawing/2014/main" id="{56FA3320-AEAD-4E5E-B6AE-FA5883E28BC0}"/>
            </a:ext>
          </a:extLst>
        </xdr:cNvPr>
        <xdr:cNvSpPr/>
      </xdr:nvSpPr>
      <xdr:spPr>
        <a:xfrm>
          <a:off x="7282998" y="83739872"/>
          <a:ext cx="1353085" cy="79813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Thickener Overflow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77</a:t>
          </a:r>
        </a:p>
        <a:p>
          <a:pPr algn="l"/>
          <a:r>
            <a:rPr lang="en-US" sz="1100" baseline="0"/>
            <a:t>TSS(kg/d)     =  1066</a:t>
          </a:r>
        </a:p>
        <a:p>
          <a:pPr algn="l"/>
          <a:r>
            <a:rPr lang="en-US" sz="1100" baseline="0"/>
            <a:t>BOD(kg/d)   =   564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6</xdr:col>
      <xdr:colOff>774809</xdr:colOff>
      <xdr:row>318</xdr:row>
      <xdr:rowOff>51895</xdr:rowOff>
    </xdr:from>
    <xdr:to>
      <xdr:col>6</xdr:col>
      <xdr:colOff>783021</xdr:colOff>
      <xdr:row>320</xdr:row>
      <xdr:rowOff>219642</xdr:rowOff>
    </xdr:to>
    <xdr:cxnSp macro="">
      <xdr:nvCxnSpPr>
        <xdr:cNvPr id="82" name="Straight Connector 81">
          <a:extLst>
            <a:ext uri="{FF2B5EF4-FFF2-40B4-BE49-F238E27FC236}">
              <a16:creationId xmlns:a16="http://schemas.microsoft.com/office/drawing/2014/main" id="{4D885EC3-B11A-4040-A22C-9E6374FB6146}"/>
            </a:ext>
          </a:extLst>
        </xdr:cNvPr>
        <xdr:cNvCxnSpPr>
          <a:cxnSpLocks/>
        </xdr:cNvCxnSpPr>
      </xdr:nvCxnSpPr>
      <xdr:spPr>
        <a:xfrm flipV="1">
          <a:off x="7947134" y="83081320"/>
          <a:ext cx="8212" cy="64399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206856</xdr:colOff>
      <xdr:row>327</xdr:row>
      <xdr:rowOff>30611</xdr:rowOff>
    </xdr:from>
    <xdr:to>
      <xdr:col>9</xdr:col>
      <xdr:colOff>410561</xdr:colOff>
      <xdr:row>327</xdr:row>
      <xdr:rowOff>41394</xdr:rowOff>
    </xdr:to>
    <xdr:cxnSp macro="">
      <xdr:nvCxnSpPr>
        <xdr:cNvPr id="83" name="Straight Connector 82">
          <a:extLst>
            <a:ext uri="{FF2B5EF4-FFF2-40B4-BE49-F238E27FC236}">
              <a16:creationId xmlns:a16="http://schemas.microsoft.com/office/drawing/2014/main" id="{0BA572F9-1BEC-4ADE-B7DF-6DAF3B2ED16E}"/>
            </a:ext>
          </a:extLst>
        </xdr:cNvPr>
        <xdr:cNvCxnSpPr/>
      </xdr:nvCxnSpPr>
      <xdr:spPr>
        <a:xfrm>
          <a:off x="9322281" y="85203161"/>
          <a:ext cx="841880" cy="1078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780065</xdr:colOff>
      <xdr:row>325</xdr:row>
      <xdr:rowOff>123507</xdr:rowOff>
    </xdr:from>
    <xdr:to>
      <xdr:col>8</xdr:col>
      <xdr:colOff>183904</xdr:colOff>
      <xdr:row>328</xdr:row>
      <xdr:rowOff>201547</xdr:rowOff>
    </xdr:to>
    <xdr:sp macro="" textlink="">
      <xdr:nvSpPr>
        <xdr:cNvPr id="84" name="Flowchart: Process 83">
          <a:extLst>
            <a:ext uri="{FF2B5EF4-FFF2-40B4-BE49-F238E27FC236}">
              <a16:creationId xmlns:a16="http://schemas.microsoft.com/office/drawing/2014/main" id="{CD3CB311-15A6-43F5-AB86-EBB9B6EACCE2}"/>
            </a:ext>
          </a:extLst>
        </xdr:cNvPr>
        <xdr:cNvSpPr/>
      </xdr:nvSpPr>
      <xdr:spPr>
        <a:xfrm>
          <a:off x="7952390" y="84819807"/>
          <a:ext cx="1346939" cy="792415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Digestor Inlet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134</a:t>
          </a:r>
        </a:p>
        <a:p>
          <a:pPr algn="l"/>
          <a:r>
            <a:rPr lang="en-US" sz="1100" baseline="0"/>
            <a:t>TSS(kg/d)     =  7632</a:t>
          </a:r>
        </a:p>
        <a:p>
          <a:pPr algn="l"/>
          <a:r>
            <a:rPr lang="en-US" sz="1100" baseline="0"/>
            <a:t>BOD(kg/d)   =   4428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6</xdr:col>
      <xdr:colOff>632264</xdr:colOff>
      <xdr:row>332</xdr:row>
      <xdr:rowOff>219586</xdr:rowOff>
    </xdr:from>
    <xdr:to>
      <xdr:col>7</xdr:col>
      <xdr:colOff>905462</xdr:colOff>
      <xdr:row>336</xdr:row>
      <xdr:rowOff>67672</xdr:rowOff>
    </xdr:to>
    <xdr:sp macro="" textlink="">
      <xdr:nvSpPr>
        <xdr:cNvPr id="85" name="Flowchart: Process 84">
          <a:extLst>
            <a:ext uri="{FF2B5EF4-FFF2-40B4-BE49-F238E27FC236}">
              <a16:creationId xmlns:a16="http://schemas.microsoft.com/office/drawing/2014/main" id="{1EF7B6E8-6352-4BD6-B245-E1229A4A1EC5}"/>
            </a:ext>
          </a:extLst>
        </xdr:cNvPr>
        <xdr:cNvSpPr/>
      </xdr:nvSpPr>
      <xdr:spPr>
        <a:xfrm>
          <a:off x="7804589" y="86582761"/>
          <a:ext cx="1244748" cy="800586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Supernatant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37</a:t>
          </a:r>
        </a:p>
        <a:p>
          <a:pPr algn="l"/>
          <a:r>
            <a:rPr lang="en-US" sz="1100" baseline="0"/>
            <a:t>TSS(kg/d)     =  186</a:t>
          </a:r>
        </a:p>
        <a:p>
          <a:pPr algn="l"/>
          <a:r>
            <a:rPr lang="en-US" sz="1100" baseline="0"/>
            <a:t>BOD(kg/d)   =   37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7</xdr:col>
      <xdr:colOff>344870</xdr:colOff>
      <xdr:row>331</xdr:row>
      <xdr:rowOff>66028</xdr:rowOff>
    </xdr:from>
    <xdr:to>
      <xdr:col>7</xdr:col>
      <xdr:colOff>344871</xdr:colOff>
      <xdr:row>332</xdr:row>
      <xdr:rowOff>206687</xdr:rowOff>
    </xdr:to>
    <xdr:cxnSp macro="">
      <xdr:nvCxnSpPr>
        <xdr:cNvPr id="86" name="Straight Connector 85">
          <a:extLst>
            <a:ext uri="{FF2B5EF4-FFF2-40B4-BE49-F238E27FC236}">
              <a16:creationId xmlns:a16="http://schemas.microsoft.com/office/drawing/2014/main" id="{30DF2CAE-C553-47CF-9D2A-9D9323A8D213}"/>
            </a:ext>
          </a:extLst>
        </xdr:cNvPr>
        <xdr:cNvCxnSpPr>
          <a:cxnSpLocks/>
        </xdr:cNvCxnSpPr>
      </xdr:nvCxnSpPr>
      <xdr:spPr>
        <a:xfrm flipH="1" flipV="1">
          <a:off x="8488745" y="86191078"/>
          <a:ext cx="1" cy="37878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411575</xdr:colOff>
      <xdr:row>334</xdr:row>
      <xdr:rowOff>204177</xdr:rowOff>
    </xdr:from>
    <xdr:to>
      <xdr:col>10</xdr:col>
      <xdr:colOff>596017</xdr:colOff>
      <xdr:row>334</xdr:row>
      <xdr:rowOff>204177</xdr:rowOff>
    </xdr:to>
    <xdr:cxnSp macro="">
      <xdr:nvCxnSpPr>
        <xdr:cNvPr id="87" name="Straight Connector 86">
          <a:extLst>
            <a:ext uri="{FF2B5EF4-FFF2-40B4-BE49-F238E27FC236}">
              <a16:creationId xmlns:a16="http://schemas.microsoft.com/office/drawing/2014/main" id="{A25D9AC1-2F8F-4540-930E-B996CBFECAEF}"/>
            </a:ext>
          </a:extLst>
        </xdr:cNvPr>
        <xdr:cNvCxnSpPr/>
      </xdr:nvCxnSpPr>
      <xdr:spPr>
        <a:xfrm>
          <a:off x="10165175" y="87043602"/>
          <a:ext cx="794042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596018</xdr:colOff>
      <xdr:row>333</xdr:row>
      <xdr:rowOff>46794</xdr:rowOff>
    </xdr:from>
    <xdr:to>
      <xdr:col>11</xdr:col>
      <xdr:colOff>1355376</xdr:colOff>
      <xdr:row>336</xdr:row>
      <xdr:rowOff>193336</xdr:rowOff>
    </xdr:to>
    <xdr:sp macro="" textlink="">
      <xdr:nvSpPr>
        <xdr:cNvPr id="88" name="Flowchart: Process 87">
          <a:extLst>
            <a:ext uri="{FF2B5EF4-FFF2-40B4-BE49-F238E27FC236}">
              <a16:creationId xmlns:a16="http://schemas.microsoft.com/office/drawing/2014/main" id="{39B57910-81C6-4D70-82BE-506CC779BCF5}"/>
            </a:ext>
          </a:extLst>
        </xdr:cNvPr>
        <xdr:cNvSpPr/>
      </xdr:nvSpPr>
      <xdr:spPr>
        <a:xfrm>
          <a:off x="10959218" y="86648094"/>
          <a:ext cx="1368958" cy="860917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 Digestate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94</a:t>
          </a:r>
        </a:p>
        <a:p>
          <a:pPr algn="l"/>
          <a:r>
            <a:rPr lang="en-US" sz="1100" baseline="0"/>
            <a:t>TSS(kg/d)     =  4695</a:t>
          </a:r>
        </a:p>
        <a:p>
          <a:pPr algn="l"/>
          <a:r>
            <a:rPr lang="en-US" sz="1100" baseline="0"/>
            <a:t>BOD(kg/d)   =   2806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6</xdr:col>
      <xdr:colOff>631122</xdr:colOff>
      <xdr:row>340</xdr:row>
      <xdr:rowOff>109913</xdr:rowOff>
    </xdr:from>
    <xdr:to>
      <xdr:col>7</xdr:col>
      <xdr:colOff>913343</xdr:colOff>
      <xdr:row>343</xdr:row>
      <xdr:rowOff>193669</xdr:rowOff>
    </xdr:to>
    <xdr:sp macro="" textlink="">
      <xdr:nvSpPr>
        <xdr:cNvPr id="89" name="Flowchart: Process 88">
          <a:extLst>
            <a:ext uri="{FF2B5EF4-FFF2-40B4-BE49-F238E27FC236}">
              <a16:creationId xmlns:a16="http://schemas.microsoft.com/office/drawing/2014/main" id="{79FA757C-C9D4-4A67-ACE9-5C3A58FA0D51}"/>
            </a:ext>
          </a:extLst>
        </xdr:cNvPr>
        <xdr:cNvSpPr/>
      </xdr:nvSpPr>
      <xdr:spPr>
        <a:xfrm>
          <a:off x="7803447" y="88378088"/>
          <a:ext cx="1253771" cy="79813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Centrate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77</a:t>
          </a:r>
        </a:p>
        <a:p>
          <a:pPr algn="l"/>
          <a:r>
            <a:rPr lang="en-US" sz="1100" baseline="0"/>
            <a:t>TSS(kg/d)     =  470</a:t>
          </a:r>
        </a:p>
        <a:p>
          <a:pPr algn="l"/>
          <a:r>
            <a:rPr lang="en-US" sz="1100" baseline="0"/>
            <a:t>BOD(kg/d)   =  154  156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7</xdr:col>
      <xdr:colOff>284931</xdr:colOff>
      <xdr:row>338</xdr:row>
      <xdr:rowOff>168507</xdr:rowOff>
    </xdr:from>
    <xdr:to>
      <xdr:col>7</xdr:col>
      <xdr:colOff>284932</xdr:colOff>
      <xdr:row>340</xdr:row>
      <xdr:rowOff>73495</xdr:rowOff>
    </xdr:to>
    <xdr:cxnSp macro="">
      <xdr:nvCxnSpPr>
        <xdr:cNvPr id="90" name="Straight Connector 89">
          <a:extLst>
            <a:ext uri="{FF2B5EF4-FFF2-40B4-BE49-F238E27FC236}">
              <a16:creationId xmlns:a16="http://schemas.microsoft.com/office/drawing/2014/main" id="{B7F137AC-CCC6-4A74-B89A-2A70B5B09DD1}"/>
            </a:ext>
          </a:extLst>
        </xdr:cNvPr>
        <xdr:cNvCxnSpPr>
          <a:cxnSpLocks/>
        </xdr:cNvCxnSpPr>
      </xdr:nvCxnSpPr>
      <xdr:spPr>
        <a:xfrm flipH="1" flipV="1">
          <a:off x="8428806" y="87960432"/>
          <a:ext cx="1" cy="381238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54917</xdr:colOff>
      <xdr:row>340</xdr:row>
      <xdr:rowOff>133432</xdr:rowOff>
    </xdr:from>
    <xdr:to>
      <xdr:col>11</xdr:col>
      <xdr:colOff>1407232</xdr:colOff>
      <xdr:row>343</xdr:row>
      <xdr:rowOff>217673</xdr:rowOff>
    </xdr:to>
    <xdr:sp macro="" textlink="">
      <xdr:nvSpPr>
        <xdr:cNvPr id="91" name="Flowchart: Process 90">
          <a:extLst>
            <a:ext uri="{FF2B5EF4-FFF2-40B4-BE49-F238E27FC236}">
              <a16:creationId xmlns:a16="http://schemas.microsoft.com/office/drawing/2014/main" id="{FF5D3FC3-2620-4577-A02C-7CC2C48DF1F0}"/>
            </a:ext>
          </a:extLst>
        </xdr:cNvPr>
        <xdr:cNvSpPr/>
      </xdr:nvSpPr>
      <xdr:spPr>
        <a:xfrm>
          <a:off x="11027717" y="88401607"/>
          <a:ext cx="1352315" cy="798616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Biosolids</a:t>
          </a:r>
          <a:endParaRPr lang="en-US" sz="1100"/>
        </a:p>
        <a:p>
          <a:pPr algn="l"/>
          <a:r>
            <a:rPr lang="en-US" sz="1100"/>
            <a:t>Flow(m</a:t>
          </a:r>
          <a:r>
            <a:rPr lang="en-US" sz="1100" baseline="30000"/>
            <a:t>3</a:t>
          </a:r>
          <a:r>
            <a:rPr lang="en-US" sz="1100" baseline="0"/>
            <a:t>/d)  =  17</a:t>
          </a:r>
        </a:p>
        <a:p>
          <a:pPr algn="l"/>
          <a:r>
            <a:rPr lang="en-US" sz="1100" baseline="0"/>
            <a:t>TSS(kg/d)     =  4226</a:t>
          </a:r>
        </a:p>
        <a:p>
          <a:pPr algn="l"/>
          <a:r>
            <a:rPr lang="en-US" sz="1100" baseline="0"/>
            <a:t>BOD(kg/d)   =   2652</a:t>
          </a:r>
        </a:p>
        <a:p>
          <a:pPr algn="l"/>
          <a:endParaRPr lang="en-US" sz="11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11</xdr:col>
      <xdr:colOff>731075</xdr:colOff>
      <xdr:row>338</xdr:row>
      <xdr:rowOff>156749</xdr:rowOff>
    </xdr:from>
    <xdr:to>
      <xdr:col>11</xdr:col>
      <xdr:colOff>736954</xdr:colOff>
      <xdr:row>340</xdr:row>
      <xdr:rowOff>133432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66A989ED-7409-4CC7-9418-5054C3787800}"/>
            </a:ext>
          </a:extLst>
        </xdr:cNvPr>
        <xdr:cNvCxnSpPr>
          <a:cxnSpLocks/>
          <a:stCxn id="91" idx="0"/>
        </xdr:cNvCxnSpPr>
      </xdr:nvCxnSpPr>
      <xdr:spPr>
        <a:xfrm flipV="1">
          <a:off x="11703875" y="87948674"/>
          <a:ext cx="5879" cy="45293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436865</xdr:colOff>
      <xdr:row>328</xdr:row>
      <xdr:rowOff>79641</xdr:rowOff>
    </xdr:from>
    <xdr:to>
      <xdr:col>11</xdr:col>
      <xdr:colOff>449913</xdr:colOff>
      <xdr:row>331</xdr:row>
      <xdr:rowOff>141128</xdr:rowOff>
    </xdr:to>
    <xdr:cxnSp macro="">
      <xdr:nvCxnSpPr>
        <xdr:cNvPr id="93" name="Straight Connector 92">
          <a:extLst>
            <a:ext uri="{FF2B5EF4-FFF2-40B4-BE49-F238E27FC236}">
              <a16:creationId xmlns:a16="http://schemas.microsoft.com/office/drawing/2014/main" id="{026A9E06-6443-4874-94AC-3997A05323F7}"/>
            </a:ext>
          </a:extLst>
        </xdr:cNvPr>
        <xdr:cNvCxnSpPr>
          <a:cxnSpLocks/>
        </xdr:cNvCxnSpPr>
      </xdr:nvCxnSpPr>
      <xdr:spPr>
        <a:xfrm flipV="1">
          <a:off x="11409665" y="85490316"/>
          <a:ext cx="13048" cy="77586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35278</xdr:colOff>
      <xdr:row>326</xdr:row>
      <xdr:rowOff>66435</xdr:rowOff>
    </xdr:from>
    <xdr:to>
      <xdr:col>11</xdr:col>
      <xdr:colOff>870186</xdr:colOff>
      <xdr:row>328</xdr:row>
      <xdr:rowOff>42915</xdr:rowOff>
    </xdr:to>
    <xdr:sp macro="" textlink="">
      <xdr:nvSpPr>
        <xdr:cNvPr id="94" name="Flowchart: Process 93">
          <a:extLst>
            <a:ext uri="{FF2B5EF4-FFF2-40B4-BE49-F238E27FC236}">
              <a16:creationId xmlns:a16="http://schemas.microsoft.com/office/drawing/2014/main" id="{9913ADF0-808A-4EFC-8E66-4D80C4DEBBAB}"/>
            </a:ext>
          </a:extLst>
        </xdr:cNvPr>
        <xdr:cNvSpPr/>
      </xdr:nvSpPr>
      <xdr:spPr>
        <a:xfrm>
          <a:off x="11008078" y="85000860"/>
          <a:ext cx="834908" cy="45273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100" baseline="0"/>
            <a:t>Biogas</a:t>
          </a:r>
          <a:endParaRPr lang="en-US" sz="1100"/>
        </a:p>
        <a:p>
          <a:pPr algn="ctr"/>
          <a:r>
            <a:rPr lang="en-US" sz="1100" baseline="0"/>
            <a:t>1489 kg/d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15</xdr:col>
      <xdr:colOff>530679</xdr:colOff>
      <xdr:row>305</xdr:row>
      <xdr:rowOff>217714</xdr:rowOff>
    </xdr:from>
    <xdr:to>
      <xdr:col>16</xdr:col>
      <xdr:colOff>176893</xdr:colOff>
      <xdr:row>305</xdr:row>
      <xdr:rowOff>217714</xdr:rowOff>
    </xdr:to>
    <xdr:cxnSp macro="">
      <xdr:nvCxnSpPr>
        <xdr:cNvPr id="95" name="Straight Arrow Connector 94">
          <a:extLst>
            <a:ext uri="{FF2B5EF4-FFF2-40B4-BE49-F238E27FC236}">
              <a16:creationId xmlns:a16="http://schemas.microsoft.com/office/drawing/2014/main" id="{B1FFEA35-2E8B-4D55-9145-96E4EDF10816}"/>
            </a:ext>
          </a:extLst>
        </xdr:cNvPr>
        <xdr:cNvCxnSpPr/>
      </xdr:nvCxnSpPr>
      <xdr:spPr>
        <a:xfrm>
          <a:off x="15370629" y="80151514"/>
          <a:ext cx="25581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175935</xdr:colOff>
      <xdr:row>353</xdr:row>
      <xdr:rowOff>80876</xdr:rowOff>
    </xdr:from>
    <xdr:to>
      <xdr:col>4</xdr:col>
      <xdr:colOff>835018</xdr:colOff>
      <xdr:row>356</xdr:row>
      <xdr:rowOff>80876</xdr:rowOff>
    </xdr:to>
    <xdr:sp macro="" textlink="">
      <xdr:nvSpPr>
        <xdr:cNvPr id="96" name="Arrow: Right 95">
          <a:extLst>
            <a:ext uri="{FF2B5EF4-FFF2-40B4-BE49-F238E27FC236}">
              <a16:creationId xmlns:a16="http://schemas.microsoft.com/office/drawing/2014/main" id="{6AED66FF-8B0A-4D9B-94B0-2CCA25ADE2E8}"/>
            </a:ext>
          </a:extLst>
        </xdr:cNvPr>
        <xdr:cNvSpPr/>
      </xdr:nvSpPr>
      <xdr:spPr>
        <a:xfrm>
          <a:off x="3909735" y="91463726"/>
          <a:ext cx="1821133" cy="714375"/>
        </a:xfrm>
        <a:prstGeom prst="righ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/>
            <a:t>Raw</a:t>
          </a:r>
          <a:r>
            <a:rPr lang="en-US" sz="2000" baseline="0"/>
            <a:t> Sewage</a:t>
          </a:r>
          <a:endParaRPr lang="en-VU" sz="2000"/>
        </a:p>
      </xdr:txBody>
    </xdr:sp>
    <xdr:clientData/>
  </xdr:twoCellAnchor>
  <xdr:twoCellAnchor>
    <xdr:from>
      <xdr:col>4</xdr:col>
      <xdr:colOff>858592</xdr:colOff>
      <xdr:row>352</xdr:row>
      <xdr:rowOff>147568</xdr:rowOff>
    </xdr:from>
    <xdr:to>
      <xdr:col>5</xdr:col>
      <xdr:colOff>934183</xdr:colOff>
      <xdr:row>357</xdr:row>
      <xdr:rowOff>53661</xdr:rowOff>
    </xdr:to>
    <xdr:sp macro="" textlink="">
      <xdr:nvSpPr>
        <xdr:cNvPr id="97" name="Rectangle 96">
          <a:extLst>
            <a:ext uri="{FF2B5EF4-FFF2-40B4-BE49-F238E27FC236}">
              <a16:creationId xmlns:a16="http://schemas.microsoft.com/office/drawing/2014/main" id="{329BB9D8-F2EA-4B74-9EB2-416EDBA0DCC7}"/>
            </a:ext>
          </a:extLst>
        </xdr:cNvPr>
        <xdr:cNvSpPr/>
      </xdr:nvSpPr>
      <xdr:spPr>
        <a:xfrm>
          <a:off x="5754442" y="91292293"/>
          <a:ext cx="1237641" cy="1096718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Pre- Treatment Facility</a:t>
          </a:r>
          <a:endParaRPr lang="en-VU" sz="1500"/>
        </a:p>
      </xdr:txBody>
    </xdr:sp>
    <xdr:clientData/>
  </xdr:twoCellAnchor>
  <xdr:twoCellAnchor>
    <xdr:from>
      <xdr:col>3</xdr:col>
      <xdr:colOff>764683</xdr:colOff>
      <xdr:row>348</xdr:row>
      <xdr:rowOff>147571</xdr:rowOff>
    </xdr:from>
    <xdr:to>
      <xdr:col>3</xdr:col>
      <xdr:colOff>775607</xdr:colOff>
      <xdr:row>354</xdr:row>
      <xdr:rowOff>27214</xdr:rowOff>
    </xdr:to>
    <xdr:cxnSp macro="">
      <xdr:nvCxnSpPr>
        <xdr:cNvPr id="98" name="Straight Connector 97">
          <a:extLst>
            <a:ext uri="{FF2B5EF4-FFF2-40B4-BE49-F238E27FC236}">
              <a16:creationId xmlns:a16="http://schemas.microsoft.com/office/drawing/2014/main" id="{522DD699-0E5F-4FA7-BE2B-CF341BB1EB8A}"/>
            </a:ext>
          </a:extLst>
        </xdr:cNvPr>
        <xdr:cNvCxnSpPr/>
      </xdr:nvCxnSpPr>
      <xdr:spPr>
        <a:xfrm flipH="1" flipV="1">
          <a:off x="4498483" y="90339796"/>
          <a:ext cx="10924" cy="130839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180034</xdr:colOff>
      <xdr:row>347</xdr:row>
      <xdr:rowOff>196368</xdr:rowOff>
    </xdr:from>
    <xdr:to>
      <xdr:col>4</xdr:col>
      <xdr:colOff>844671</xdr:colOff>
      <xdr:row>351</xdr:row>
      <xdr:rowOff>43230</xdr:rowOff>
    </xdr:to>
    <xdr:sp macro="" textlink="">
      <xdr:nvSpPr>
        <xdr:cNvPr id="99" name="Flowchart: Process 98">
          <a:extLst>
            <a:ext uri="{FF2B5EF4-FFF2-40B4-BE49-F238E27FC236}">
              <a16:creationId xmlns:a16="http://schemas.microsoft.com/office/drawing/2014/main" id="{6F7455F6-0AE8-4D20-9A32-B136417F22D6}"/>
            </a:ext>
          </a:extLst>
        </xdr:cNvPr>
        <xdr:cNvSpPr/>
      </xdr:nvSpPr>
      <xdr:spPr>
        <a:xfrm>
          <a:off x="3913834" y="90150468"/>
          <a:ext cx="1826687" cy="79936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Flow(m</a:t>
          </a:r>
          <a:r>
            <a:rPr lang="en-US" sz="1400" baseline="30000"/>
            <a:t>3</a:t>
          </a:r>
          <a:r>
            <a:rPr lang="en-US" sz="1400" baseline="0"/>
            <a:t>/d)  =  32400</a:t>
          </a:r>
        </a:p>
        <a:p>
          <a:pPr algn="l"/>
          <a:r>
            <a:rPr lang="en-US" sz="1400" baseline="0"/>
            <a:t>TSS(kg/d)     =  12960</a:t>
          </a:r>
        </a:p>
        <a:p>
          <a:pPr algn="l"/>
          <a:r>
            <a:rPr lang="en-US" sz="1400" baseline="0"/>
            <a:t>BOD(kg/d)   =   9720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415558</xdr:colOff>
      <xdr:row>348</xdr:row>
      <xdr:rowOff>100743</xdr:rowOff>
    </xdr:from>
    <xdr:to>
      <xdr:col>5</xdr:col>
      <xdr:colOff>421298</xdr:colOff>
      <xdr:row>352</xdr:row>
      <xdr:rowOff>83455</xdr:rowOff>
    </xdr:to>
    <xdr:cxnSp macro="">
      <xdr:nvCxnSpPr>
        <xdr:cNvPr id="100" name="Straight Connector 99">
          <a:extLst>
            <a:ext uri="{FF2B5EF4-FFF2-40B4-BE49-F238E27FC236}">
              <a16:creationId xmlns:a16="http://schemas.microsoft.com/office/drawing/2014/main" id="{CA70AE15-BE8B-47D5-8FB0-01BF97E82EE6}"/>
            </a:ext>
          </a:extLst>
        </xdr:cNvPr>
        <xdr:cNvCxnSpPr>
          <a:cxnSpLocks/>
        </xdr:cNvCxnSpPr>
      </xdr:nvCxnSpPr>
      <xdr:spPr>
        <a:xfrm flipV="1">
          <a:off x="6473458" y="90292968"/>
          <a:ext cx="5740" cy="93521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195477</xdr:colOff>
      <xdr:row>347</xdr:row>
      <xdr:rowOff>200923</xdr:rowOff>
    </xdr:from>
    <xdr:to>
      <xdr:col>5</xdr:col>
      <xdr:colOff>718869</xdr:colOff>
      <xdr:row>351</xdr:row>
      <xdr:rowOff>47785</xdr:rowOff>
    </xdr:to>
    <xdr:sp macro="" textlink="">
      <xdr:nvSpPr>
        <xdr:cNvPr id="101" name="Flowchart: Process 100">
          <a:extLst>
            <a:ext uri="{FF2B5EF4-FFF2-40B4-BE49-F238E27FC236}">
              <a16:creationId xmlns:a16="http://schemas.microsoft.com/office/drawing/2014/main" id="{D779E21F-6B91-4A4A-A9D6-00BFC9710358}"/>
            </a:ext>
          </a:extLst>
        </xdr:cNvPr>
        <xdr:cNvSpPr/>
      </xdr:nvSpPr>
      <xdr:spPr>
        <a:xfrm>
          <a:off x="6253377" y="90155023"/>
          <a:ext cx="523392" cy="79936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  24</a:t>
          </a:r>
        </a:p>
        <a:p>
          <a:pPr algn="ctr"/>
          <a:r>
            <a:rPr lang="en-US" sz="1400" baseline="0"/>
            <a:t>648</a:t>
          </a:r>
        </a:p>
        <a:p>
          <a:pPr algn="ctr"/>
          <a:r>
            <a:rPr lang="en-US" sz="1400" baseline="0"/>
            <a:t>19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5</xdr:col>
      <xdr:colOff>898838</xdr:colOff>
      <xdr:row>354</xdr:row>
      <xdr:rowOff>187817</xdr:rowOff>
    </xdr:from>
    <xdr:to>
      <xdr:col>7</xdr:col>
      <xdr:colOff>134155</xdr:colOff>
      <xdr:row>354</xdr:row>
      <xdr:rowOff>201232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9576E261-597F-4D06-980B-A05CB0072A60}"/>
            </a:ext>
          </a:extLst>
        </xdr:cNvPr>
        <xdr:cNvCxnSpPr/>
      </xdr:nvCxnSpPr>
      <xdr:spPr>
        <a:xfrm>
          <a:off x="6956738" y="91808792"/>
          <a:ext cx="1321292" cy="1341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831760</xdr:colOff>
      <xdr:row>348</xdr:row>
      <xdr:rowOff>138412</xdr:rowOff>
    </xdr:from>
    <xdr:to>
      <xdr:col>6</xdr:col>
      <xdr:colOff>831760</xdr:colOff>
      <xdr:row>354</xdr:row>
      <xdr:rowOff>178658</xdr:rowOff>
    </xdr:to>
    <xdr:cxnSp macro="">
      <xdr:nvCxnSpPr>
        <xdr:cNvPr id="103" name="Straight Connector 102">
          <a:extLst>
            <a:ext uri="{FF2B5EF4-FFF2-40B4-BE49-F238E27FC236}">
              <a16:creationId xmlns:a16="http://schemas.microsoft.com/office/drawing/2014/main" id="{3CA1B77B-21C6-4D71-AACC-A77DE9E2C6C5}"/>
            </a:ext>
          </a:extLst>
        </xdr:cNvPr>
        <xdr:cNvCxnSpPr/>
      </xdr:nvCxnSpPr>
      <xdr:spPr>
        <a:xfrm flipV="1">
          <a:off x="8004085" y="90330637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472392</xdr:colOff>
      <xdr:row>348</xdr:row>
      <xdr:rowOff>21206</xdr:rowOff>
    </xdr:from>
    <xdr:to>
      <xdr:col>7</xdr:col>
      <xdr:colOff>251603</xdr:colOff>
      <xdr:row>351</xdr:row>
      <xdr:rowOff>101700</xdr:rowOff>
    </xdr:to>
    <xdr:sp macro="" textlink="">
      <xdr:nvSpPr>
        <xdr:cNvPr id="104" name="Flowchart: Process 103">
          <a:extLst>
            <a:ext uri="{FF2B5EF4-FFF2-40B4-BE49-F238E27FC236}">
              <a16:creationId xmlns:a16="http://schemas.microsoft.com/office/drawing/2014/main" id="{13681590-87AA-47BF-95A1-D70886041F95}"/>
            </a:ext>
          </a:extLst>
        </xdr:cNvPr>
        <xdr:cNvSpPr/>
      </xdr:nvSpPr>
      <xdr:spPr>
        <a:xfrm>
          <a:off x="7644717" y="90213431"/>
          <a:ext cx="750761" cy="79486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32812</a:t>
          </a:r>
        </a:p>
        <a:p>
          <a:pPr algn="ctr"/>
          <a:r>
            <a:rPr lang="en-US" sz="1400" baseline="0"/>
            <a:t>14211</a:t>
          </a:r>
        </a:p>
        <a:p>
          <a:pPr algn="ctr"/>
          <a:r>
            <a:rPr lang="en-US" sz="1400" baseline="0"/>
            <a:t>10581</a:t>
          </a:r>
        </a:p>
        <a:p>
          <a:pPr algn="ctr"/>
          <a:endParaRPr lang="en-US" sz="14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8</xdr:col>
      <xdr:colOff>217715</xdr:colOff>
      <xdr:row>354</xdr:row>
      <xdr:rowOff>231321</xdr:rowOff>
    </xdr:from>
    <xdr:to>
      <xdr:col>10</xdr:col>
      <xdr:colOff>283068</xdr:colOff>
      <xdr:row>354</xdr:row>
      <xdr:rowOff>244736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ABD26E46-9C50-47BC-B405-07BC5881A4A3}"/>
            </a:ext>
          </a:extLst>
        </xdr:cNvPr>
        <xdr:cNvCxnSpPr/>
      </xdr:nvCxnSpPr>
      <xdr:spPr>
        <a:xfrm>
          <a:off x="9333140" y="91852296"/>
          <a:ext cx="1313128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176893</xdr:colOff>
      <xdr:row>352</xdr:row>
      <xdr:rowOff>136070</xdr:rowOff>
    </xdr:from>
    <xdr:to>
      <xdr:col>8</xdr:col>
      <xdr:colOff>421821</xdr:colOff>
      <xdr:row>357</xdr:row>
      <xdr:rowOff>108856</xdr:rowOff>
    </xdr:to>
    <xdr:sp macro="" textlink="">
      <xdr:nvSpPr>
        <xdr:cNvPr id="106" name="Flowchart: Connector 105">
          <a:extLst>
            <a:ext uri="{FF2B5EF4-FFF2-40B4-BE49-F238E27FC236}">
              <a16:creationId xmlns:a16="http://schemas.microsoft.com/office/drawing/2014/main" id="{679B23DC-14CA-4390-878E-F8195B467841}"/>
            </a:ext>
          </a:extLst>
        </xdr:cNvPr>
        <xdr:cNvSpPr/>
      </xdr:nvSpPr>
      <xdr:spPr>
        <a:xfrm>
          <a:off x="8320768" y="91280795"/>
          <a:ext cx="1216478" cy="1163411"/>
        </a:xfrm>
        <a:prstGeom prst="flowChart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500"/>
            <a:t>Primary </a:t>
          </a:r>
        </a:p>
        <a:p>
          <a:pPr algn="l"/>
          <a:r>
            <a:rPr lang="en-US" sz="1500"/>
            <a:t>Settling</a:t>
          </a:r>
          <a:endParaRPr lang="en-VU" sz="1500"/>
        </a:p>
      </xdr:txBody>
    </xdr:sp>
    <xdr:clientData/>
  </xdr:twoCellAnchor>
  <xdr:twoCellAnchor>
    <xdr:from>
      <xdr:col>10</xdr:col>
      <xdr:colOff>312964</xdr:colOff>
      <xdr:row>353</xdr:row>
      <xdr:rowOff>136071</xdr:rowOff>
    </xdr:from>
    <xdr:to>
      <xdr:col>11</xdr:col>
      <xdr:colOff>1034142</xdr:colOff>
      <xdr:row>356</xdr:row>
      <xdr:rowOff>176892</xdr:rowOff>
    </xdr:to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id="{4FCD75E5-FD41-4ED4-8127-BD526A5EA131}"/>
            </a:ext>
          </a:extLst>
        </xdr:cNvPr>
        <xdr:cNvSpPr/>
      </xdr:nvSpPr>
      <xdr:spPr>
        <a:xfrm>
          <a:off x="10676164" y="91518921"/>
          <a:ext cx="1330778" cy="75519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500"/>
        </a:p>
        <a:p>
          <a:pPr algn="ctr"/>
          <a:r>
            <a:rPr lang="en-US" sz="1500"/>
            <a:t>Aeration</a:t>
          </a:r>
          <a:r>
            <a:rPr lang="en-US" sz="1500" baseline="0"/>
            <a:t> Tank</a:t>
          </a:r>
          <a:endParaRPr lang="en-VU" sz="1500"/>
        </a:p>
      </xdr:txBody>
    </xdr:sp>
    <xdr:clientData/>
  </xdr:twoCellAnchor>
  <xdr:twoCellAnchor>
    <xdr:from>
      <xdr:col>9</xdr:col>
      <xdr:colOff>312965</xdr:colOff>
      <xdr:row>348</xdr:row>
      <xdr:rowOff>131097</xdr:rowOff>
    </xdr:from>
    <xdr:to>
      <xdr:col>9</xdr:col>
      <xdr:colOff>312965</xdr:colOff>
      <xdr:row>354</xdr:row>
      <xdr:rowOff>171343</xdr:rowOff>
    </xdr:to>
    <xdr:cxnSp macro="">
      <xdr:nvCxnSpPr>
        <xdr:cNvPr id="108" name="Straight Connector 107">
          <a:extLst>
            <a:ext uri="{FF2B5EF4-FFF2-40B4-BE49-F238E27FC236}">
              <a16:creationId xmlns:a16="http://schemas.microsoft.com/office/drawing/2014/main" id="{505CEF59-E64A-44FC-B9F6-7028C7FF62F4}"/>
            </a:ext>
          </a:extLst>
        </xdr:cNvPr>
        <xdr:cNvCxnSpPr/>
      </xdr:nvCxnSpPr>
      <xdr:spPr>
        <a:xfrm flipV="1">
          <a:off x="10066565" y="90323322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-1</xdr:colOff>
      <xdr:row>347</xdr:row>
      <xdr:rowOff>232504</xdr:rowOff>
    </xdr:from>
    <xdr:to>
      <xdr:col>10</xdr:col>
      <xdr:colOff>53915</xdr:colOff>
      <xdr:row>351</xdr:row>
      <xdr:rowOff>53916</xdr:rowOff>
    </xdr:to>
    <xdr:sp macro="" textlink="">
      <xdr:nvSpPr>
        <xdr:cNvPr id="109" name="Flowchart: Process 108">
          <a:extLst>
            <a:ext uri="{FF2B5EF4-FFF2-40B4-BE49-F238E27FC236}">
              <a16:creationId xmlns:a16="http://schemas.microsoft.com/office/drawing/2014/main" id="{C521B57B-34BB-4CC1-BA05-F706B33D8007}"/>
            </a:ext>
          </a:extLst>
        </xdr:cNvPr>
        <xdr:cNvSpPr/>
      </xdr:nvSpPr>
      <xdr:spPr>
        <a:xfrm>
          <a:off x="9753599" y="90186604"/>
          <a:ext cx="663516" cy="77391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32634</a:t>
          </a:r>
        </a:p>
        <a:p>
          <a:pPr algn="ctr"/>
          <a:r>
            <a:rPr lang="en-US" sz="1400" baseline="0"/>
            <a:t>7105</a:t>
          </a:r>
        </a:p>
        <a:p>
          <a:pPr algn="ctr"/>
          <a:r>
            <a:rPr lang="en-US" sz="1400" baseline="0"/>
            <a:t>7089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11</xdr:col>
      <xdr:colOff>938892</xdr:colOff>
      <xdr:row>355</xdr:row>
      <xdr:rowOff>-1</xdr:rowOff>
    </xdr:from>
    <xdr:to>
      <xdr:col>11</xdr:col>
      <xdr:colOff>1562139</xdr:colOff>
      <xdr:row>355</xdr:row>
      <xdr:rowOff>3889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A29C5F11-F23C-4DAC-9E6A-D54C31F6E89F}"/>
            </a:ext>
          </a:extLst>
        </xdr:cNvPr>
        <xdr:cNvCxnSpPr/>
      </xdr:nvCxnSpPr>
      <xdr:spPr>
        <a:xfrm>
          <a:off x="11911692" y="91859099"/>
          <a:ext cx="623247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1578429</xdr:colOff>
      <xdr:row>353</xdr:row>
      <xdr:rowOff>122465</xdr:rowOff>
    </xdr:from>
    <xdr:to>
      <xdr:col>13</xdr:col>
      <xdr:colOff>462643</xdr:colOff>
      <xdr:row>356</xdr:row>
      <xdr:rowOff>217714</xdr:rowOff>
    </xdr:to>
    <xdr:sp macro="" textlink="">
      <xdr:nvSpPr>
        <xdr:cNvPr id="111" name="Flowchart: Off-page Connector 110">
          <a:extLst>
            <a:ext uri="{FF2B5EF4-FFF2-40B4-BE49-F238E27FC236}">
              <a16:creationId xmlns:a16="http://schemas.microsoft.com/office/drawing/2014/main" id="{019BE0E0-6C1E-47EE-90C1-21CC4FB9D7E3}"/>
            </a:ext>
          </a:extLst>
        </xdr:cNvPr>
        <xdr:cNvSpPr/>
      </xdr:nvSpPr>
      <xdr:spPr>
        <a:xfrm>
          <a:off x="12551229" y="91505315"/>
          <a:ext cx="1370239" cy="809624"/>
        </a:xfrm>
        <a:prstGeom prst="flowChartOffpage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   Secondary Clarifier</a:t>
          </a:r>
          <a:endParaRPr lang="en-VU" sz="1500"/>
        </a:p>
      </xdr:txBody>
    </xdr:sp>
    <xdr:clientData/>
  </xdr:twoCellAnchor>
  <xdr:twoCellAnchor>
    <xdr:from>
      <xdr:col>12</xdr:col>
      <xdr:colOff>405653</xdr:colOff>
      <xdr:row>356</xdr:row>
      <xdr:rowOff>122464</xdr:rowOff>
    </xdr:from>
    <xdr:to>
      <xdr:col>12</xdr:col>
      <xdr:colOff>406453</xdr:colOff>
      <xdr:row>358</xdr:row>
      <xdr:rowOff>112059</xdr:rowOff>
    </xdr:to>
    <xdr:cxnSp macro="">
      <xdr:nvCxnSpPr>
        <xdr:cNvPr id="112" name="Straight Connector 111">
          <a:extLst>
            <a:ext uri="{FF2B5EF4-FFF2-40B4-BE49-F238E27FC236}">
              <a16:creationId xmlns:a16="http://schemas.microsoft.com/office/drawing/2014/main" id="{6E34ED7E-4480-4B22-B92B-F146275549E9}"/>
            </a:ext>
          </a:extLst>
        </xdr:cNvPr>
        <xdr:cNvCxnSpPr/>
      </xdr:nvCxnSpPr>
      <xdr:spPr>
        <a:xfrm flipH="1">
          <a:off x="13254878" y="92219689"/>
          <a:ext cx="800" cy="46584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358</xdr:row>
      <xdr:rowOff>106456</xdr:rowOff>
    </xdr:from>
    <xdr:to>
      <xdr:col>12</xdr:col>
      <xdr:colOff>405653</xdr:colOff>
      <xdr:row>358</xdr:row>
      <xdr:rowOff>106456</xdr:rowOff>
    </xdr:to>
    <xdr:cxnSp macro="">
      <xdr:nvCxnSpPr>
        <xdr:cNvPr id="113" name="Straight Connector 112">
          <a:extLst>
            <a:ext uri="{FF2B5EF4-FFF2-40B4-BE49-F238E27FC236}">
              <a16:creationId xmlns:a16="http://schemas.microsoft.com/office/drawing/2014/main" id="{098E820A-B508-44F3-8999-B96A48AAAA26}"/>
            </a:ext>
          </a:extLst>
        </xdr:cNvPr>
        <xdr:cNvCxnSpPr/>
      </xdr:nvCxnSpPr>
      <xdr:spPr>
        <a:xfrm flipH="1">
          <a:off x="11372850" y="92679931"/>
          <a:ext cx="188202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387084</xdr:colOff>
      <xdr:row>356</xdr:row>
      <xdr:rowOff>81642</xdr:rowOff>
    </xdr:from>
    <xdr:to>
      <xdr:col>11</xdr:col>
      <xdr:colOff>396455</xdr:colOff>
      <xdr:row>358</xdr:row>
      <xdr:rowOff>106932</xdr:rowOff>
    </xdr:to>
    <xdr:cxnSp macro="">
      <xdr:nvCxnSpPr>
        <xdr:cNvPr id="114" name="Straight Arrow Connector 113">
          <a:extLst>
            <a:ext uri="{FF2B5EF4-FFF2-40B4-BE49-F238E27FC236}">
              <a16:creationId xmlns:a16="http://schemas.microsoft.com/office/drawing/2014/main" id="{E9D85ED7-4EAE-4431-A31B-91C873531FCD}"/>
            </a:ext>
          </a:extLst>
        </xdr:cNvPr>
        <xdr:cNvCxnSpPr/>
      </xdr:nvCxnSpPr>
      <xdr:spPr>
        <a:xfrm flipH="1" flipV="1">
          <a:off x="11359884" y="92178867"/>
          <a:ext cx="9371" cy="5015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219808</xdr:colOff>
      <xdr:row>352</xdr:row>
      <xdr:rowOff>164854</xdr:rowOff>
    </xdr:from>
    <xdr:to>
      <xdr:col>16</xdr:col>
      <xdr:colOff>31750</xdr:colOff>
      <xdr:row>357</xdr:row>
      <xdr:rowOff>79374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DEA671C9-D30F-4A95-B999-C95CFC5A6F36}"/>
            </a:ext>
          </a:extLst>
        </xdr:cNvPr>
        <xdr:cNvSpPr/>
      </xdr:nvSpPr>
      <xdr:spPr>
        <a:xfrm>
          <a:off x="14450158" y="91309579"/>
          <a:ext cx="1031142" cy="110514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/>
            <a:t>Tertiary</a:t>
          </a:r>
          <a:r>
            <a:rPr lang="en-US" sz="1500" baseline="0"/>
            <a:t> </a:t>
          </a:r>
        </a:p>
        <a:p>
          <a:pPr algn="ctr"/>
          <a:r>
            <a:rPr lang="en-US" sz="1500" baseline="0"/>
            <a:t>Treatment</a:t>
          </a:r>
          <a:endParaRPr lang="en-VU" sz="1500"/>
        </a:p>
      </xdr:txBody>
    </xdr:sp>
    <xdr:clientData/>
  </xdr:twoCellAnchor>
  <xdr:twoCellAnchor>
    <xdr:from>
      <xdr:col>13</xdr:col>
      <xdr:colOff>348029</xdr:colOff>
      <xdr:row>354</xdr:row>
      <xdr:rowOff>192332</xdr:rowOff>
    </xdr:from>
    <xdr:to>
      <xdr:col>14</xdr:col>
      <xdr:colOff>201949</xdr:colOff>
      <xdr:row>354</xdr:row>
      <xdr:rowOff>196222</xdr:rowOff>
    </xdr:to>
    <xdr:cxnSp macro="">
      <xdr:nvCxnSpPr>
        <xdr:cNvPr id="116" name="Straight Arrow Connector 115">
          <a:extLst>
            <a:ext uri="{FF2B5EF4-FFF2-40B4-BE49-F238E27FC236}">
              <a16:creationId xmlns:a16="http://schemas.microsoft.com/office/drawing/2014/main" id="{BAB548EB-D766-4CC2-AF5E-18B72806C125}"/>
            </a:ext>
          </a:extLst>
        </xdr:cNvPr>
        <xdr:cNvCxnSpPr/>
      </xdr:nvCxnSpPr>
      <xdr:spPr>
        <a:xfrm>
          <a:off x="13806854" y="91813307"/>
          <a:ext cx="625445" cy="38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659423</xdr:colOff>
      <xdr:row>348</xdr:row>
      <xdr:rowOff>137380</xdr:rowOff>
    </xdr:from>
    <xdr:to>
      <xdr:col>13</xdr:col>
      <xdr:colOff>659423</xdr:colOff>
      <xdr:row>354</xdr:row>
      <xdr:rowOff>177626</xdr:rowOff>
    </xdr:to>
    <xdr:cxnSp macro="">
      <xdr:nvCxnSpPr>
        <xdr:cNvPr id="117" name="Straight Connector 116">
          <a:extLst>
            <a:ext uri="{FF2B5EF4-FFF2-40B4-BE49-F238E27FC236}">
              <a16:creationId xmlns:a16="http://schemas.microsoft.com/office/drawing/2014/main" id="{87F17D50-D5AD-407B-92BA-72A169AFEC99}"/>
            </a:ext>
          </a:extLst>
        </xdr:cNvPr>
        <xdr:cNvCxnSpPr/>
      </xdr:nvCxnSpPr>
      <xdr:spPr>
        <a:xfrm flipV="1">
          <a:off x="14118248" y="90329605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557763</xdr:colOff>
      <xdr:row>348</xdr:row>
      <xdr:rowOff>142874</xdr:rowOff>
    </xdr:from>
    <xdr:to>
      <xdr:col>16</xdr:col>
      <xdr:colOff>557763</xdr:colOff>
      <xdr:row>354</xdr:row>
      <xdr:rowOff>183120</xdr:rowOff>
    </xdr:to>
    <xdr:cxnSp macro="">
      <xdr:nvCxnSpPr>
        <xdr:cNvPr id="118" name="Straight Connector 117">
          <a:extLst>
            <a:ext uri="{FF2B5EF4-FFF2-40B4-BE49-F238E27FC236}">
              <a16:creationId xmlns:a16="http://schemas.microsoft.com/office/drawing/2014/main" id="{206BE784-4400-40C8-BD18-BAD74D5721DE}"/>
            </a:ext>
          </a:extLst>
        </xdr:cNvPr>
        <xdr:cNvCxnSpPr/>
      </xdr:nvCxnSpPr>
      <xdr:spPr>
        <a:xfrm flipV="1">
          <a:off x="16007313" y="90335099"/>
          <a:ext cx="0" cy="146899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195603</xdr:colOff>
      <xdr:row>353</xdr:row>
      <xdr:rowOff>95250</xdr:rowOff>
    </xdr:from>
    <xdr:to>
      <xdr:col>19</xdr:col>
      <xdr:colOff>0</xdr:colOff>
      <xdr:row>356</xdr:row>
      <xdr:rowOff>95250</xdr:rowOff>
    </xdr:to>
    <xdr:sp macro="" textlink="">
      <xdr:nvSpPr>
        <xdr:cNvPr id="119" name="Arrow: Right 118">
          <a:extLst>
            <a:ext uri="{FF2B5EF4-FFF2-40B4-BE49-F238E27FC236}">
              <a16:creationId xmlns:a16="http://schemas.microsoft.com/office/drawing/2014/main" id="{B324855C-8678-46FA-A51C-22AC35363382}"/>
            </a:ext>
          </a:extLst>
        </xdr:cNvPr>
        <xdr:cNvSpPr/>
      </xdr:nvSpPr>
      <xdr:spPr>
        <a:xfrm>
          <a:off x="15645153" y="91478100"/>
          <a:ext cx="2452347" cy="714375"/>
        </a:xfrm>
        <a:prstGeom prst="righ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/>
            <a:t>Treated</a:t>
          </a:r>
          <a:r>
            <a:rPr lang="en-US" sz="2000" baseline="0"/>
            <a:t> Sewage</a:t>
          </a:r>
          <a:endParaRPr lang="en-VU" sz="2000"/>
        </a:p>
      </xdr:txBody>
    </xdr:sp>
    <xdr:clientData/>
  </xdr:twoCellAnchor>
  <xdr:twoCellAnchor>
    <xdr:from>
      <xdr:col>11</xdr:col>
      <xdr:colOff>381000</xdr:colOff>
      <xdr:row>358</xdr:row>
      <xdr:rowOff>133350</xdr:rowOff>
    </xdr:from>
    <xdr:to>
      <xdr:col>11</xdr:col>
      <xdr:colOff>392906</xdr:colOff>
      <xdr:row>364</xdr:row>
      <xdr:rowOff>38099</xdr:rowOff>
    </xdr:to>
    <xdr:cxnSp macro="">
      <xdr:nvCxnSpPr>
        <xdr:cNvPr id="120" name="Straight Connector 119">
          <a:extLst>
            <a:ext uri="{FF2B5EF4-FFF2-40B4-BE49-F238E27FC236}">
              <a16:creationId xmlns:a16="http://schemas.microsoft.com/office/drawing/2014/main" id="{FB48848C-D8C7-4F35-A46A-54CAE2758AAA}"/>
            </a:ext>
          </a:extLst>
        </xdr:cNvPr>
        <xdr:cNvCxnSpPr/>
      </xdr:nvCxnSpPr>
      <xdr:spPr>
        <a:xfrm>
          <a:off x="11353800" y="92706825"/>
          <a:ext cx="11906" cy="1333499"/>
        </a:xfrm>
        <a:prstGeom prst="line">
          <a:avLst/>
        </a:prstGeom>
        <a:ln w="9525" cap="flat" cmpd="sng" algn="ctr">
          <a:solidFill>
            <a:schemeClr val="accent5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179614</xdr:colOff>
      <xdr:row>364</xdr:row>
      <xdr:rowOff>195943</xdr:rowOff>
    </xdr:from>
    <xdr:to>
      <xdr:col>8</xdr:col>
      <xdr:colOff>334395</xdr:colOff>
      <xdr:row>369</xdr:row>
      <xdr:rowOff>112600</xdr:rowOff>
    </xdr:to>
    <xdr:sp macro="" textlink="">
      <xdr:nvSpPr>
        <xdr:cNvPr id="121" name="Flowchart: Connector 120">
          <a:extLst>
            <a:ext uri="{FF2B5EF4-FFF2-40B4-BE49-F238E27FC236}">
              <a16:creationId xmlns:a16="http://schemas.microsoft.com/office/drawing/2014/main" id="{5A10C63C-1D60-4A77-873B-B0DB67DC2105}"/>
            </a:ext>
          </a:extLst>
        </xdr:cNvPr>
        <xdr:cNvSpPr/>
      </xdr:nvSpPr>
      <xdr:spPr>
        <a:xfrm>
          <a:off x="8323489" y="94198168"/>
          <a:ext cx="1126331" cy="1107282"/>
        </a:xfrm>
        <a:prstGeom prst="flowChartConnector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/>
        </a:p>
        <a:p>
          <a:pPr algn="l"/>
          <a:r>
            <a:rPr lang="en-US" sz="1200"/>
            <a:t>Gravity Thickener</a:t>
          </a:r>
          <a:endParaRPr lang="en-VU" sz="1200"/>
        </a:p>
      </xdr:txBody>
    </xdr:sp>
    <xdr:clientData/>
  </xdr:twoCellAnchor>
  <xdr:twoCellAnchor>
    <xdr:from>
      <xdr:col>7</xdr:col>
      <xdr:colOff>740058</xdr:colOff>
      <xdr:row>355</xdr:row>
      <xdr:rowOff>30957</xdr:rowOff>
    </xdr:from>
    <xdr:to>
      <xdr:col>7</xdr:col>
      <xdr:colOff>747713</xdr:colOff>
      <xdr:row>364</xdr:row>
      <xdr:rowOff>195943</xdr:rowOff>
    </xdr:to>
    <xdr:cxnSp macro="">
      <xdr:nvCxnSpPr>
        <xdr:cNvPr id="122" name="Straight Arrow Connector 121">
          <a:extLst>
            <a:ext uri="{FF2B5EF4-FFF2-40B4-BE49-F238E27FC236}">
              <a16:creationId xmlns:a16="http://schemas.microsoft.com/office/drawing/2014/main" id="{B0031CB7-61EC-4A39-AAAF-40ACEC1B6DBE}"/>
            </a:ext>
          </a:extLst>
        </xdr:cNvPr>
        <xdr:cNvCxnSpPr>
          <a:endCxn id="121" idx="0"/>
        </xdr:cNvCxnSpPr>
      </xdr:nvCxnSpPr>
      <xdr:spPr>
        <a:xfrm flipH="1">
          <a:off x="8883933" y="91890057"/>
          <a:ext cx="7655" cy="2308111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808264</xdr:colOff>
      <xdr:row>358</xdr:row>
      <xdr:rowOff>192881</xdr:rowOff>
    </xdr:from>
    <xdr:to>
      <xdr:col>8</xdr:col>
      <xdr:colOff>542924</xdr:colOff>
      <xdr:row>358</xdr:row>
      <xdr:rowOff>194582</xdr:rowOff>
    </xdr:to>
    <xdr:cxnSp macro="">
      <xdr:nvCxnSpPr>
        <xdr:cNvPr id="123" name="Straight Connector 122">
          <a:extLst>
            <a:ext uri="{FF2B5EF4-FFF2-40B4-BE49-F238E27FC236}">
              <a16:creationId xmlns:a16="http://schemas.microsoft.com/office/drawing/2014/main" id="{C701FAFB-90DB-4B12-9C29-A78A074A8340}"/>
            </a:ext>
          </a:extLst>
        </xdr:cNvPr>
        <xdr:cNvCxnSpPr/>
      </xdr:nvCxnSpPr>
      <xdr:spPr>
        <a:xfrm flipV="1">
          <a:off x="8952139" y="92766356"/>
          <a:ext cx="706210" cy="1701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1048339</xdr:colOff>
      <xdr:row>354</xdr:row>
      <xdr:rowOff>197689</xdr:rowOff>
    </xdr:from>
    <xdr:to>
      <xdr:col>5</xdr:col>
      <xdr:colOff>1078302</xdr:colOff>
      <xdr:row>387</xdr:row>
      <xdr:rowOff>132760</xdr:rowOff>
    </xdr:to>
    <xdr:cxnSp macro="">
      <xdr:nvCxnSpPr>
        <xdr:cNvPr id="124" name="Straight Arrow Connector 123">
          <a:extLst>
            <a:ext uri="{FF2B5EF4-FFF2-40B4-BE49-F238E27FC236}">
              <a16:creationId xmlns:a16="http://schemas.microsoft.com/office/drawing/2014/main" id="{3937024C-D81C-4AF8-B630-F8DD4982DEAB}"/>
            </a:ext>
          </a:extLst>
        </xdr:cNvPr>
        <xdr:cNvCxnSpPr/>
      </xdr:nvCxnSpPr>
      <xdr:spPr>
        <a:xfrm flipH="1">
          <a:off x="7106239" y="91818664"/>
          <a:ext cx="29963" cy="779319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1090820</xdr:colOff>
      <xdr:row>367</xdr:row>
      <xdr:rowOff>28306</xdr:rowOff>
    </xdr:from>
    <xdr:to>
      <xdr:col>7</xdr:col>
      <xdr:colOff>241734</xdr:colOff>
      <xdr:row>367</xdr:row>
      <xdr:rowOff>31197</xdr:rowOff>
    </xdr:to>
    <xdr:cxnSp macro="">
      <xdr:nvCxnSpPr>
        <xdr:cNvPr id="125" name="Straight Connector 124">
          <a:extLst>
            <a:ext uri="{FF2B5EF4-FFF2-40B4-BE49-F238E27FC236}">
              <a16:creationId xmlns:a16="http://schemas.microsoft.com/office/drawing/2014/main" id="{61B2F884-2C1D-446E-A081-CCF2CDFDD6D8}"/>
            </a:ext>
          </a:extLst>
        </xdr:cNvPr>
        <xdr:cNvCxnSpPr/>
      </xdr:nvCxnSpPr>
      <xdr:spPr>
        <a:xfrm flipH="1">
          <a:off x="7148720" y="94744906"/>
          <a:ext cx="1236889" cy="2891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485775</xdr:colOff>
      <xdr:row>361</xdr:row>
      <xdr:rowOff>161924</xdr:rowOff>
    </xdr:from>
    <xdr:to>
      <xdr:col>11</xdr:col>
      <xdr:colOff>971551</xdr:colOff>
      <xdr:row>366</xdr:row>
      <xdr:rowOff>57150</xdr:rowOff>
    </xdr:to>
    <xdr:sp macro="" textlink="">
      <xdr:nvSpPr>
        <xdr:cNvPr id="126" name="Dodecagon 125">
          <a:extLst>
            <a:ext uri="{FF2B5EF4-FFF2-40B4-BE49-F238E27FC236}">
              <a16:creationId xmlns:a16="http://schemas.microsoft.com/office/drawing/2014/main" id="{2C93D2F1-A4FD-44EC-A9B2-C2195FFA401E}"/>
            </a:ext>
          </a:extLst>
        </xdr:cNvPr>
        <xdr:cNvSpPr/>
      </xdr:nvSpPr>
      <xdr:spPr>
        <a:xfrm>
          <a:off x="10848975" y="93449774"/>
          <a:ext cx="1095376" cy="1085851"/>
        </a:xfrm>
        <a:prstGeom prst="dodecagon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/>
        </a:p>
        <a:p>
          <a:pPr algn="l"/>
          <a:r>
            <a:rPr lang="en-US" sz="1200"/>
            <a:t>Flotation</a:t>
          </a:r>
        </a:p>
        <a:p>
          <a:pPr algn="l"/>
          <a:r>
            <a:rPr lang="en-US" sz="1200"/>
            <a:t>Thickener</a:t>
          </a:r>
          <a:endParaRPr lang="en-VU" sz="1200"/>
        </a:p>
      </xdr:txBody>
    </xdr:sp>
    <xdr:clientData/>
  </xdr:twoCellAnchor>
  <xdr:twoCellAnchor>
    <xdr:from>
      <xdr:col>5</xdr:col>
      <xdr:colOff>1085850</xdr:colOff>
      <xdr:row>363</xdr:row>
      <xdr:rowOff>219075</xdr:rowOff>
    </xdr:from>
    <xdr:to>
      <xdr:col>10</xdr:col>
      <xdr:colOff>476250</xdr:colOff>
      <xdr:row>363</xdr:row>
      <xdr:rowOff>228600</xdr:rowOff>
    </xdr:to>
    <xdr:cxnSp macro="">
      <xdr:nvCxnSpPr>
        <xdr:cNvPr id="127" name="Straight Connector 126">
          <a:extLst>
            <a:ext uri="{FF2B5EF4-FFF2-40B4-BE49-F238E27FC236}">
              <a16:creationId xmlns:a16="http://schemas.microsoft.com/office/drawing/2014/main" id="{1D598094-675D-4F90-B80D-51F794609002}"/>
            </a:ext>
          </a:extLst>
        </xdr:cNvPr>
        <xdr:cNvCxnSpPr/>
      </xdr:nvCxnSpPr>
      <xdr:spPr>
        <a:xfrm flipH="1" flipV="1">
          <a:off x="7143750" y="93983175"/>
          <a:ext cx="3695700" cy="9525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414608</xdr:colOff>
      <xdr:row>364</xdr:row>
      <xdr:rowOff>92904</xdr:rowOff>
    </xdr:from>
    <xdr:to>
      <xdr:col>11</xdr:col>
      <xdr:colOff>421702</xdr:colOff>
      <xdr:row>373</xdr:row>
      <xdr:rowOff>107652</xdr:rowOff>
    </xdr:to>
    <xdr:cxnSp macro="">
      <xdr:nvCxnSpPr>
        <xdr:cNvPr id="128" name="Straight Arrow Connector 127">
          <a:extLst>
            <a:ext uri="{FF2B5EF4-FFF2-40B4-BE49-F238E27FC236}">
              <a16:creationId xmlns:a16="http://schemas.microsoft.com/office/drawing/2014/main" id="{1DEC1155-C290-4A95-B982-3A668E0F5F7E}"/>
            </a:ext>
          </a:extLst>
        </xdr:cNvPr>
        <xdr:cNvCxnSpPr/>
      </xdr:nvCxnSpPr>
      <xdr:spPr>
        <a:xfrm>
          <a:off x="11387408" y="94095129"/>
          <a:ext cx="7094" cy="2157873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728960</xdr:colOff>
      <xdr:row>367</xdr:row>
      <xdr:rowOff>172555</xdr:rowOff>
    </xdr:from>
    <xdr:to>
      <xdr:col>7</xdr:col>
      <xdr:colOff>747983</xdr:colOff>
      <xdr:row>373</xdr:row>
      <xdr:rowOff>107652</xdr:rowOff>
    </xdr:to>
    <xdr:cxnSp macro="">
      <xdr:nvCxnSpPr>
        <xdr:cNvPr id="129" name="Straight Arrow Connector 128">
          <a:extLst>
            <a:ext uri="{FF2B5EF4-FFF2-40B4-BE49-F238E27FC236}">
              <a16:creationId xmlns:a16="http://schemas.microsoft.com/office/drawing/2014/main" id="{AA33669E-E848-45E2-B516-9E681CBA2EEC}"/>
            </a:ext>
          </a:extLst>
        </xdr:cNvPr>
        <xdr:cNvCxnSpPr/>
      </xdr:nvCxnSpPr>
      <xdr:spPr>
        <a:xfrm flipH="1">
          <a:off x="8872835" y="94889155"/>
          <a:ext cx="19023" cy="1363847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752186</xdr:colOff>
      <xdr:row>373</xdr:row>
      <xdr:rowOff>99970</xdr:rowOff>
    </xdr:from>
    <xdr:to>
      <xdr:col>8</xdr:col>
      <xdr:colOff>260391</xdr:colOff>
      <xdr:row>373</xdr:row>
      <xdr:rowOff>105375</xdr:rowOff>
    </xdr:to>
    <xdr:cxnSp macro="">
      <xdr:nvCxnSpPr>
        <xdr:cNvPr id="130" name="Straight Connector 129">
          <a:extLst>
            <a:ext uri="{FF2B5EF4-FFF2-40B4-BE49-F238E27FC236}">
              <a16:creationId xmlns:a16="http://schemas.microsoft.com/office/drawing/2014/main" id="{5A39D945-83EB-4E05-9708-0B8C5DE984CF}"/>
            </a:ext>
          </a:extLst>
        </xdr:cNvPr>
        <xdr:cNvCxnSpPr/>
      </xdr:nvCxnSpPr>
      <xdr:spPr>
        <a:xfrm flipH="1">
          <a:off x="8896061" y="96245320"/>
          <a:ext cx="479755" cy="5405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540302</xdr:colOff>
      <xdr:row>371</xdr:row>
      <xdr:rowOff>52717</xdr:rowOff>
    </xdr:from>
    <xdr:to>
      <xdr:col>10</xdr:col>
      <xdr:colOff>378378</xdr:colOff>
      <xdr:row>375</xdr:row>
      <xdr:rowOff>154229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D419A2D2-EAD9-48C1-96B1-670F790118CA}"/>
            </a:ext>
          </a:extLst>
        </xdr:cNvPr>
        <xdr:cNvSpPr/>
      </xdr:nvSpPr>
      <xdr:spPr>
        <a:xfrm>
          <a:off x="9655727" y="95721817"/>
          <a:ext cx="1085851" cy="1054012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ctr"/>
          <a:r>
            <a:rPr lang="en-US" sz="1200"/>
            <a:t>Blending Tank</a:t>
          </a:r>
          <a:endParaRPr lang="en-VU" sz="1200"/>
        </a:p>
      </xdr:txBody>
    </xdr:sp>
    <xdr:clientData/>
  </xdr:twoCellAnchor>
  <xdr:twoCellAnchor>
    <xdr:from>
      <xdr:col>8</xdr:col>
      <xdr:colOff>283436</xdr:colOff>
      <xdr:row>373</xdr:row>
      <xdr:rowOff>99970</xdr:rowOff>
    </xdr:from>
    <xdr:to>
      <xdr:col>8</xdr:col>
      <xdr:colOff>540302</xdr:colOff>
      <xdr:row>373</xdr:row>
      <xdr:rowOff>103473</xdr:rowOff>
    </xdr:to>
    <xdr:cxnSp macro="">
      <xdr:nvCxnSpPr>
        <xdr:cNvPr id="132" name="Straight Arrow Connector 131">
          <a:extLst>
            <a:ext uri="{FF2B5EF4-FFF2-40B4-BE49-F238E27FC236}">
              <a16:creationId xmlns:a16="http://schemas.microsoft.com/office/drawing/2014/main" id="{44CFC0D5-CA01-4A28-9CDB-AFF0EE04D387}"/>
            </a:ext>
          </a:extLst>
        </xdr:cNvPr>
        <xdr:cNvCxnSpPr>
          <a:endCxn id="131" idx="2"/>
        </xdr:cNvCxnSpPr>
      </xdr:nvCxnSpPr>
      <xdr:spPr>
        <a:xfrm>
          <a:off x="9398861" y="96245320"/>
          <a:ext cx="256866" cy="350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375227</xdr:colOff>
      <xdr:row>373</xdr:row>
      <xdr:rowOff>92125</xdr:rowOff>
    </xdr:from>
    <xdr:to>
      <xdr:col>11</xdr:col>
      <xdr:colOff>51377</xdr:colOff>
      <xdr:row>373</xdr:row>
      <xdr:rowOff>92125</xdr:rowOff>
    </xdr:to>
    <xdr:cxnSp macro="">
      <xdr:nvCxnSpPr>
        <xdr:cNvPr id="133" name="Straight Arrow Connector 132">
          <a:extLst>
            <a:ext uri="{FF2B5EF4-FFF2-40B4-BE49-F238E27FC236}">
              <a16:creationId xmlns:a16="http://schemas.microsoft.com/office/drawing/2014/main" id="{AEDC625A-D020-48B0-AFAF-C5E3D7427FF8}"/>
            </a:ext>
          </a:extLst>
        </xdr:cNvPr>
        <xdr:cNvCxnSpPr/>
      </xdr:nvCxnSpPr>
      <xdr:spPr>
        <a:xfrm flipH="1">
          <a:off x="10738427" y="96237475"/>
          <a:ext cx="285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79564</xdr:colOff>
      <xdr:row>373</xdr:row>
      <xdr:rowOff>88376</xdr:rowOff>
    </xdr:from>
    <xdr:to>
      <xdr:col>11</xdr:col>
      <xdr:colOff>422242</xdr:colOff>
      <xdr:row>373</xdr:row>
      <xdr:rowOff>93547</xdr:rowOff>
    </xdr:to>
    <xdr:cxnSp macro="">
      <xdr:nvCxnSpPr>
        <xdr:cNvPr id="134" name="Straight Connector 133">
          <a:extLst>
            <a:ext uri="{FF2B5EF4-FFF2-40B4-BE49-F238E27FC236}">
              <a16:creationId xmlns:a16="http://schemas.microsoft.com/office/drawing/2014/main" id="{96DA00A9-0E21-4DB9-95F6-9980687C6193}"/>
            </a:ext>
          </a:extLst>
        </xdr:cNvPr>
        <xdr:cNvCxnSpPr/>
      </xdr:nvCxnSpPr>
      <xdr:spPr>
        <a:xfrm flipH="1">
          <a:off x="11052364" y="96233726"/>
          <a:ext cx="342678" cy="5171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735806</xdr:colOff>
      <xdr:row>363</xdr:row>
      <xdr:rowOff>197643</xdr:rowOff>
    </xdr:from>
    <xdr:to>
      <xdr:col>7</xdr:col>
      <xdr:colOff>735806</xdr:colOff>
      <xdr:row>364</xdr:row>
      <xdr:rowOff>189705</xdr:rowOff>
    </xdr:to>
    <xdr:cxnSp macro="">
      <xdr:nvCxnSpPr>
        <xdr:cNvPr id="135" name="Straight Arrow Connector 134">
          <a:extLst>
            <a:ext uri="{FF2B5EF4-FFF2-40B4-BE49-F238E27FC236}">
              <a16:creationId xmlns:a16="http://schemas.microsoft.com/office/drawing/2014/main" id="{B2CFC6DB-21A1-4C48-8A97-8438FF0B211D}"/>
            </a:ext>
          </a:extLst>
        </xdr:cNvPr>
        <xdr:cNvCxnSpPr/>
      </xdr:nvCxnSpPr>
      <xdr:spPr>
        <a:xfrm>
          <a:off x="8879681" y="93961743"/>
          <a:ext cx="0" cy="2301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381992</xdr:colOff>
      <xdr:row>360</xdr:row>
      <xdr:rowOff>172045</xdr:rowOff>
    </xdr:from>
    <xdr:to>
      <xdr:col>11</xdr:col>
      <xdr:colOff>381992</xdr:colOff>
      <xdr:row>361</xdr:row>
      <xdr:rowOff>164107</xdr:rowOff>
    </xdr:to>
    <xdr:cxnSp macro="">
      <xdr:nvCxnSpPr>
        <xdr:cNvPr id="136" name="Straight Arrow Connector 135">
          <a:extLst>
            <a:ext uri="{FF2B5EF4-FFF2-40B4-BE49-F238E27FC236}">
              <a16:creationId xmlns:a16="http://schemas.microsoft.com/office/drawing/2014/main" id="{C6028452-C5DF-4300-A2CD-B7203C9C2704}"/>
            </a:ext>
          </a:extLst>
        </xdr:cNvPr>
        <xdr:cNvCxnSpPr/>
      </xdr:nvCxnSpPr>
      <xdr:spPr>
        <a:xfrm>
          <a:off x="11354792" y="93221770"/>
          <a:ext cx="0" cy="2301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1076287</xdr:colOff>
      <xdr:row>363</xdr:row>
      <xdr:rowOff>221419</xdr:rowOff>
    </xdr:from>
    <xdr:to>
      <xdr:col>6</xdr:col>
      <xdr:colOff>247413</xdr:colOff>
      <xdr:row>363</xdr:row>
      <xdr:rowOff>221419</xdr:rowOff>
    </xdr:to>
    <xdr:cxnSp macro="">
      <xdr:nvCxnSpPr>
        <xdr:cNvPr id="137" name="Straight Arrow Connector 136">
          <a:extLst>
            <a:ext uri="{FF2B5EF4-FFF2-40B4-BE49-F238E27FC236}">
              <a16:creationId xmlns:a16="http://schemas.microsoft.com/office/drawing/2014/main" id="{DCEC7589-1CF2-46DF-AED1-623F75129E63}"/>
            </a:ext>
          </a:extLst>
        </xdr:cNvPr>
        <xdr:cNvCxnSpPr/>
      </xdr:nvCxnSpPr>
      <xdr:spPr>
        <a:xfrm flipH="1">
          <a:off x="7134187" y="93985519"/>
          <a:ext cx="28555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1063003</xdr:colOff>
      <xdr:row>367</xdr:row>
      <xdr:rowOff>28687</xdr:rowOff>
    </xdr:from>
    <xdr:to>
      <xdr:col>6</xdr:col>
      <xdr:colOff>234129</xdr:colOff>
      <xdr:row>367</xdr:row>
      <xdr:rowOff>28687</xdr:rowOff>
    </xdr:to>
    <xdr:cxnSp macro="">
      <xdr:nvCxnSpPr>
        <xdr:cNvPr id="138" name="Straight Arrow Connector 137">
          <a:extLst>
            <a:ext uri="{FF2B5EF4-FFF2-40B4-BE49-F238E27FC236}">
              <a16:creationId xmlns:a16="http://schemas.microsoft.com/office/drawing/2014/main" id="{E1879435-92A9-4220-BD34-F580716D7973}"/>
            </a:ext>
          </a:extLst>
        </xdr:cNvPr>
        <xdr:cNvCxnSpPr/>
      </xdr:nvCxnSpPr>
      <xdr:spPr>
        <a:xfrm flipH="1">
          <a:off x="7120903" y="94745287"/>
          <a:ext cx="28555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1084495</xdr:colOff>
      <xdr:row>354</xdr:row>
      <xdr:rowOff>189957</xdr:rowOff>
    </xdr:from>
    <xdr:to>
      <xdr:col>5</xdr:col>
      <xdr:colOff>1084495</xdr:colOff>
      <xdr:row>355</xdr:row>
      <xdr:rowOff>202164</xdr:rowOff>
    </xdr:to>
    <xdr:cxnSp macro="">
      <xdr:nvCxnSpPr>
        <xdr:cNvPr id="139" name="Straight Arrow Connector 138">
          <a:extLst>
            <a:ext uri="{FF2B5EF4-FFF2-40B4-BE49-F238E27FC236}">
              <a16:creationId xmlns:a16="http://schemas.microsoft.com/office/drawing/2014/main" id="{8E9496FF-AA3D-4610-9963-5F4465C4EC84}"/>
            </a:ext>
          </a:extLst>
        </xdr:cNvPr>
        <xdr:cNvCxnSpPr/>
      </xdr:nvCxnSpPr>
      <xdr:spPr>
        <a:xfrm flipV="1">
          <a:off x="7142395" y="91810932"/>
          <a:ext cx="0" cy="25033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409575</xdr:colOff>
      <xdr:row>372</xdr:row>
      <xdr:rowOff>223199</xdr:rowOff>
    </xdr:from>
    <xdr:to>
      <xdr:col>9</xdr:col>
      <xdr:colOff>419100</xdr:colOff>
      <xdr:row>377</xdr:row>
      <xdr:rowOff>166050</xdr:rowOff>
    </xdr:to>
    <xdr:cxnSp macro="">
      <xdr:nvCxnSpPr>
        <xdr:cNvPr id="140" name="Straight Arrow Connector 139">
          <a:extLst>
            <a:ext uri="{FF2B5EF4-FFF2-40B4-BE49-F238E27FC236}">
              <a16:creationId xmlns:a16="http://schemas.microsoft.com/office/drawing/2014/main" id="{2FED5CA6-82A2-41EC-887B-147A21224414}"/>
            </a:ext>
          </a:extLst>
        </xdr:cNvPr>
        <xdr:cNvCxnSpPr/>
      </xdr:nvCxnSpPr>
      <xdr:spPr>
        <a:xfrm flipH="1">
          <a:off x="10163175" y="96130424"/>
          <a:ext cx="9525" cy="113347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428624</xdr:colOff>
      <xdr:row>377</xdr:row>
      <xdr:rowOff>156525</xdr:rowOff>
    </xdr:from>
    <xdr:to>
      <xdr:col>10</xdr:col>
      <xdr:colOff>409574</xdr:colOff>
      <xdr:row>382</xdr:row>
      <xdr:rowOff>204149</xdr:rowOff>
    </xdr:to>
    <xdr:sp macro="" textlink="">
      <xdr:nvSpPr>
        <xdr:cNvPr id="141" name="Oval 140">
          <a:extLst>
            <a:ext uri="{FF2B5EF4-FFF2-40B4-BE49-F238E27FC236}">
              <a16:creationId xmlns:a16="http://schemas.microsoft.com/office/drawing/2014/main" id="{E6ABB68E-4527-40F6-A4C9-AD2B2D345DF4}"/>
            </a:ext>
          </a:extLst>
        </xdr:cNvPr>
        <xdr:cNvSpPr/>
      </xdr:nvSpPr>
      <xdr:spPr>
        <a:xfrm>
          <a:off x="9544049" y="97254375"/>
          <a:ext cx="1228725" cy="1238249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ctr"/>
          <a:r>
            <a:rPr lang="en-US" sz="1300"/>
            <a:t>Anaerobic Digestor</a:t>
          </a:r>
        </a:p>
        <a:p>
          <a:pPr algn="ctr"/>
          <a:endParaRPr lang="en-VU" sz="1200"/>
        </a:p>
      </xdr:txBody>
    </xdr:sp>
    <xdr:clientData/>
  </xdr:twoCellAnchor>
  <xdr:twoCellAnchor>
    <xdr:from>
      <xdr:col>5</xdr:col>
      <xdr:colOff>1047750</xdr:colOff>
      <xdr:row>380</xdr:row>
      <xdr:rowOff>44679</xdr:rowOff>
    </xdr:from>
    <xdr:to>
      <xdr:col>8</xdr:col>
      <xdr:colOff>428624</xdr:colOff>
      <xdr:row>380</xdr:row>
      <xdr:rowOff>63729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98F8AD1D-3CA8-4918-93DF-0E7441C21C00}"/>
            </a:ext>
          </a:extLst>
        </xdr:cNvPr>
        <xdr:cNvCxnSpPr>
          <a:stCxn id="141" idx="2"/>
        </xdr:cNvCxnSpPr>
      </xdr:nvCxnSpPr>
      <xdr:spPr>
        <a:xfrm flipH="1" flipV="1">
          <a:off x="7105650" y="97856904"/>
          <a:ext cx="2438399" cy="19050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353014</xdr:colOff>
      <xdr:row>385</xdr:row>
      <xdr:rowOff>235080</xdr:rowOff>
    </xdr:from>
    <xdr:to>
      <xdr:col>10</xdr:col>
      <xdr:colOff>486364</xdr:colOff>
      <xdr:row>389</xdr:row>
      <xdr:rowOff>56559</xdr:rowOff>
    </xdr:to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id="{A8891453-B41C-46DD-98A1-5AFD753AE4EE}"/>
            </a:ext>
          </a:extLst>
        </xdr:cNvPr>
        <xdr:cNvSpPr/>
      </xdr:nvSpPr>
      <xdr:spPr>
        <a:xfrm>
          <a:off x="9468439" y="99237930"/>
          <a:ext cx="1381125" cy="773979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Biosolids Dewatering</a:t>
          </a:r>
          <a:endParaRPr lang="en-VU" sz="1400"/>
        </a:p>
      </xdr:txBody>
    </xdr:sp>
    <xdr:clientData/>
  </xdr:twoCellAnchor>
  <xdr:twoCellAnchor>
    <xdr:from>
      <xdr:col>5</xdr:col>
      <xdr:colOff>1048339</xdr:colOff>
      <xdr:row>387</xdr:row>
      <xdr:rowOff>132760</xdr:rowOff>
    </xdr:from>
    <xdr:to>
      <xdr:col>8</xdr:col>
      <xdr:colOff>353014</xdr:colOff>
      <xdr:row>387</xdr:row>
      <xdr:rowOff>147048</xdr:rowOff>
    </xdr:to>
    <xdr:cxnSp macro="">
      <xdr:nvCxnSpPr>
        <xdr:cNvPr id="144" name="Straight Connector 143">
          <a:extLst>
            <a:ext uri="{FF2B5EF4-FFF2-40B4-BE49-F238E27FC236}">
              <a16:creationId xmlns:a16="http://schemas.microsoft.com/office/drawing/2014/main" id="{08AE1358-73CA-4C92-8CD5-B13D8F22DC92}"/>
            </a:ext>
          </a:extLst>
        </xdr:cNvPr>
        <xdr:cNvCxnSpPr>
          <a:stCxn id="143" idx="1"/>
        </xdr:cNvCxnSpPr>
      </xdr:nvCxnSpPr>
      <xdr:spPr>
        <a:xfrm flipH="1" flipV="1">
          <a:off x="7106239" y="99611860"/>
          <a:ext cx="2362200" cy="14288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400639</xdr:colOff>
      <xdr:row>380</xdr:row>
      <xdr:rowOff>232723</xdr:rowOff>
    </xdr:from>
    <xdr:to>
      <xdr:col>9</xdr:col>
      <xdr:colOff>410164</xdr:colOff>
      <xdr:row>385</xdr:row>
      <xdr:rowOff>175574</xdr:rowOff>
    </xdr:to>
    <xdr:cxnSp macro="">
      <xdr:nvCxnSpPr>
        <xdr:cNvPr id="145" name="Straight Arrow Connector 144">
          <a:extLst>
            <a:ext uri="{FF2B5EF4-FFF2-40B4-BE49-F238E27FC236}">
              <a16:creationId xmlns:a16="http://schemas.microsoft.com/office/drawing/2014/main" id="{05D78ADF-3A5F-41E8-AD1A-73820438C483}"/>
            </a:ext>
          </a:extLst>
        </xdr:cNvPr>
        <xdr:cNvCxnSpPr/>
      </xdr:nvCxnSpPr>
      <xdr:spPr>
        <a:xfrm flipH="1">
          <a:off x="10154239" y="98044948"/>
          <a:ext cx="9525" cy="1133476"/>
        </a:xfrm>
        <a:prstGeom prst="straightConnector1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380</xdr:row>
      <xdr:rowOff>141976</xdr:rowOff>
    </xdr:from>
    <xdr:to>
      <xdr:col>11</xdr:col>
      <xdr:colOff>408421</xdr:colOff>
      <xdr:row>380</xdr:row>
      <xdr:rowOff>145969</xdr:rowOff>
    </xdr:to>
    <xdr:cxnSp macro="">
      <xdr:nvCxnSpPr>
        <xdr:cNvPr id="146" name="Straight Connector 145">
          <a:extLst>
            <a:ext uri="{FF2B5EF4-FFF2-40B4-BE49-F238E27FC236}">
              <a16:creationId xmlns:a16="http://schemas.microsoft.com/office/drawing/2014/main" id="{778E2F94-DA67-41E0-B89A-1EF595B461CC}"/>
            </a:ext>
          </a:extLst>
        </xdr:cNvPr>
        <xdr:cNvCxnSpPr/>
      </xdr:nvCxnSpPr>
      <xdr:spPr>
        <a:xfrm flipH="1" flipV="1">
          <a:off x="10820400" y="97954201"/>
          <a:ext cx="560821" cy="3993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196352</xdr:colOff>
      <xdr:row>380</xdr:row>
      <xdr:rowOff>141459</xdr:rowOff>
    </xdr:from>
    <xdr:to>
      <xdr:col>11</xdr:col>
      <xdr:colOff>408932</xdr:colOff>
      <xdr:row>380</xdr:row>
      <xdr:rowOff>146799</xdr:rowOff>
    </xdr:to>
    <xdr:cxnSp macro="">
      <xdr:nvCxnSpPr>
        <xdr:cNvPr id="147" name="Straight Arrow Connector 146">
          <a:extLst>
            <a:ext uri="{FF2B5EF4-FFF2-40B4-BE49-F238E27FC236}">
              <a16:creationId xmlns:a16="http://schemas.microsoft.com/office/drawing/2014/main" id="{F17154AE-22D5-4E85-B632-A48D08B95509}"/>
            </a:ext>
          </a:extLst>
        </xdr:cNvPr>
        <xdr:cNvCxnSpPr/>
      </xdr:nvCxnSpPr>
      <xdr:spPr>
        <a:xfrm>
          <a:off x="11169152" y="97953684"/>
          <a:ext cx="212580" cy="53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495889</xdr:colOff>
      <xdr:row>387</xdr:row>
      <xdr:rowOff>132760</xdr:rowOff>
    </xdr:from>
    <xdr:to>
      <xdr:col>11</xdr:col>
      <xdr:colOff>1676989</xdr:colOff>
      <xdr:row>387</xdr:row>
      <xdr:rowOff>137523</xdr:rowOff>
    </xdr:to>
    <xdr:cxnSp macro="">
      <xdr:nvCxnSpPr>
        <xdr:cNvPr id="148" name="Straight Connector 147">
          <a:extLst>
            <a:ext uri="{FF2B5EF4-FFF2-40B4-BE49-F238E27FC236}">
              <a16:creationId xmlns:a16="http://schemas.microsoft.com/office/drawing/2014/main" id="{DD9DE4D7-BC9C-4434-B9A6-C528BAF8A9C8}"/>
            </a:ext>
          </a:extLst>
        </xdr:cNvPr>
        <xdr:cNvCxnSpPr/>
      </xdr:nvCxnSpPr>
      <xdr:spPr>
        <a:xfrm flipH="1">
          <a:off x="10859089" y="99611860"/>
          <a:ext cx="1790700" cy="4763"/>
        </a:xfrm>
        <a:prstGeom prst="line">
          <a:avLst/>
        </a:prstGeom>
        <a:ln w="9525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514350</xdr:colOff>
      <xdr:row>379</xdr:row>
      <xdr:rowOff>89129</xdr:rowOff>
    </xdr:from>
    <xdr:to>
      <xdr:col>12</xdr:col>
      <xdr:colOff>47625</xdr:colOff>
      <xdr:row>382</xdr:row>
      <xdr:rowOff>10474</xdr:rowOff>
    </xdr:to>
    <xdr:sp macro="" textlink="">
      <xdr:nvSpPr>
        <xdr:cNvPr id="149" name="Arrow: Right 148">
          <a:extLst>
            <a:ext uri="{FF2B5EF4-FFF2-40B4-BE49-F238E27FC236}">
              <a16:creationId xmlns:a16="http://schemas.microsoft.com/office/drawing/2014/main" id="{3A2ADB23-D839-4E45-9E99-BF1478D5AEDF}"/>
            </a:ext>
          </a:extLst>
        </xdr:cNvPr>
        <xdr:cNvSpPr/>
      </xdr:nvSpPr>
      <xdr:spPr>
        <a:xfrm>
          <a:off x="11487150" y="97663229"/>
          <a:ext cx="1409700" cy="635720"/>
        </a:xfrm>
        <a:prstGeom prst="rightArrow">
          <a:avLst/>
        </a:prstGeom>
        <a:ln>
          <a:solidFill>
            <a:schemeClr val="accent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    Biogas</a:t>
          </a:r>
          <a:endParaRPr lang="en-VU" sz="1600"/>
        </a:p>
      </xdr:txBody>
    </xdr:sp>
    <xdr:clientData/>
  </xdr:twoCellAnchor>
  <xdr:twoCellAnchor>
    <xdr:from>
      <xdr:col>11</xdr:col>
      <xdr:colOff>1457914</xdr:colOff>
      <xdr:row>386</xdr:row>
      <xdr:rowOff>75610</xdr:rowOff>
    </xdr:from>
    <xdr:to>
      <xdr:col>13</xdr:col>
      <xdr:colOff>381589</xdr:colOff>
      <xdr:row>388</xdr:row>
      <xdr:rowOff>235080</xdr:rowOff>
    </xdr:to>
    <xdr:sp macro="" textlink="">
      <xdr:nvSpPr>
        <xdr:cNvPr id="150" name="Arrow: Right 149">
          <a:extLst>
            <a:ext uri="{FF2B5EF4-FFF2-40B4-BE49-F238E27FC236}">
              <a16:creationId xmlns:a16="http://schemas.microsoft.com/office/drawing/2014/main" id="{D059F53F-2388-47CE-A7A4-10F83AFC3064}"/>
            </a:ext>
          </a:extLst>
        </xdr:cNvPr>
        <xdr:cNvSpPr/>
      </xdr:nvSpPr>
      <xdr:spPr>
        <a:xfrm>
          <a:off x="12430714" y="99316585"/>
          <a:ext cx="1409700" cy="635720"/>
        </a:xfrm>
        <a:prstGeom prst="rightArrow">
          <a:avLst/>
        </a:prstGeom>
        <a:ln>
          <a:solidFill>
            <a:schemeClr val="accent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    Biosolids</a:t>
          </a:r>
          <a:endParaRPr lang="en-VU" sz="1600"/>
        </a:p>
      </xdr:txBody>
    </xdr:sp>
    <xdr:clientData/>
  </xdr:twoCellAnchor>
  <xdr:twoCellAnchor>
    <xdr:from>
      <xdr:col>11</xdr:col>
      <xdr:colOff>1227880</xdr:colOff>
      <xdr:row>387</xdr:row>
      <xdr:rowOff>128357</xdr:rowOff>
    </xdr:from>
    <xdr:to>
      <xdr:col>11</xdr:col>
      <xdr:colOff>1440460</xdr:colOff>
      <xdr:row>387</xdr:row>
      <xdr:rowOff>133697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114C21DA-C082-41DC-B4D8-4F09D462E0F7}"/>
            </a:ext>
          </a:extLst>
        </xdr:cNvPr>
        <xdr:cNvCxnSpPr/>
      </xdr:nvCxnSpPr>
      <xdr:spPr>
        <a:xfrm>
          <a:off x="12200680" y="99607457"/>
          <a:ext cx="212580" cy="53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1062935</xdr:colOff>
      <xdr:row>380</xdr:row>
      <xdr:rowOff>46750</xdr:rowOff>
    </xdr:from>
    <xdr:to>
      <xdr:col>6</xdr:col>
      <xdr:colOff>239022</xdr:colOff>
      <xdr:row>380</xdr:row>
      <xdr:rowOff>46750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F5C19A9E-ED26-491D-AA2B-86E62B7624DA}"/>
            </a:ext>
          </a:extLst>
        </xdr:cNvPr>
        <xdr:cNvCxnSpPr/>
      </xdr:nvCxnSpPr>
      <xdr:spPr>
        <a:xfrm flipH="1">
          <a:off x="7120835" y="97858975"/>
          <a:ext cx="2905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1044362</xdr:colOff>
      <xdr:row>387</xdr:row>
      <xdr:rowOff>142027</xdr:rowOff>
    </xdr:from>
    <xdr:to>
      <xdr:col>6</xdr:col>
      <xdr:colOff>220449</xdr:colOff>
      <xdr:row>387</xdr:row>
      <xdr:rowOff>142027</xdr:rowOff>
    </xdr:to>
    <xdr:cxnSp macro="">
      <xdr:nvCxnSpPr>
        <xdr:cNvPr id="153" name="Straight Arrow Connector 152">
          <a:extLst>
            <a:ext uri="{FF2B5EF4-FFF2-40B4-BE49-F238E27FC236}">
              <a16:creationId xmlns:a16="http://schemas.microsoft.com/office/drawing/2014/main" id="{E50A473B-5D87-4BCC-B2C2-10328D48FA60}"/>
            </a:ext>
          </a:extLst>
        </xdr:cNvPr>
        <xdr:cNvCxnSpPr/>
      </xdr:nvCxnSpPr>
      <xdr:spPr>
        <a:xfrm flipH="1">
          <a:off x="7102262" y="99621127"/>
          <a:ext cx="2905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407228</xdr:colOff>
      <xdr:row>376</xdr:row>
      <xdr:rowOff>151279</xdr:rowOff>
    </xdr:from>
    <xdr:to>
      <xdr:col>9</xdr:col>
      <xdr:colOff>407228</xdr:colOff>
      <xdr:row>377</xdr:row>
      <xdr:rowOff>143342</xdr:rowOff>
    </xdr:to>
    <xdr:cxnSp macro="">
      <xdr:nvCxnSpPr>
        <xdr:cNvPr id="154" name="Straight Arrow Connector 153">
          <a:extLst>
            <a:ext uri="{FF2B5EF4-FFF2-40B4-BE49-F238E27FC236}">
              <a16:creationId xmlns:a16="http://schemas.microsoft.com/office/drawing/2014/main" id="{4CD79BAC-25A5-412F-A227-D5E991257AB6}"/>
            </a:ext>
          </a:extLst>
        </xdr:cNvPr>
        <xdr:cNvCxnSpPr/>
      </xdr:nvCxnSpPr>
      <xdr:spPr>
        <a:xfrm>
          <a:off x="10160828" y="97011004"/>
          <a:ext cx="0" cy="23018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407310</xdr:colOff>
      <xdr:row>384</xdr:row>
      <xdr:rowOff>233720</xdr:rowOff>
    </xdr:from>
    <xdr:to>
      <xdr:col>9</xdr:col>
      <xdr:colOff>407310</xdr:colOff>
      <xdr:row>385</xdr:row>
      <xdr:rowOff>234555</xdr:rowOff>
    </xdr:to>
    <xdr:cxnSp macro="">
      <xdr:nvCxnSpPr>
        <xdr:cNvPr id="155" name="Straight Arrow Connector 154">
          <a:extLst>
            <a:ext uri="{FF2B5EF4-FFF2-40B4-BE49-F238E27FC236}">
              <a16:creationId xmlns:a16="http://schemas.microsoft.com/office/drawing/2014/main" id="{2A1AC370-34DF-46D9-B279-ACC848F65628}"/>
            </a:ext>
          </a:extLst>
        </xdr:cNvPr>
        <xdr:cNvCxnSpPr/>
      </xdr:nvCxnSpPr>
      <xdr:spPr>
        <a:xfrm>
          <a:off x="10160910" y="98998445"/>
          <a:ext cx="0" cy="2389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423537</xdr:colOff>
      <xdr:row>360</xdr:row>
      <xdr:rowOff>35229</xdr:rowOff>
    </xdr:from>
    <xdr:to>
      <xdr:col>11</xdr:col>
      <xdr:colOff>1219461</xdr:colOff>
      <xdr:row>360</xdr:row>
      <xdr:rowOff>35229</xdr:rowOff>
    </xdr:to>
    <xdr:cxnSp macro="">
      <xdr:nvCxnSpPr>
        <xdr:cNvPr id="156" name="Straight Connector 155">
          <a:extLst>
            <a:ext uri="{FF2B5EF4-FFF2-40B4-BE49-F238E27FC236}">
              <a16:creationId xmlns:a16="http://schemas.microsoft.com/office/drawing/2014/main" id="{5E794C9D-242E-4ACB-B50C-58F3C975DC3B}"/>
            </a:ext>
          </a:extLst>
        </xdr:cNvPr>
        <xdr:cNvCxnSpPr/>
      </xdr:nvCxnSpPr>
      <xdr:spPr>
        <a:xfrm>
          <a:off x="11396337" y="93084954"/>
          <a:ext cx="795924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363134</xdr:colOff>
      <xdr:row>359</xdr:row>
      <xdr:rowOff>129939</xdr:rowOff>
    </xdr:from>
    <xdr:to>
      <xdr:col>5</xdr:col>
      <xdr:colOff>1063342</xdr:colOff>
      <xdr:row>359</xdr:row>
      <xdr:rowOff>131640</xdr:rowOff>
    </xdr:to>
    <xdr:cxnSp macro="">
      <xdr:nvCxnSpPr>
        <xdr:cNvPr id="157" name="Straight Connector 156">
          <a:extLst>
            <a:ext uri="{FF2B5EF4-FFF2-40B4-BE49-F238E27FC236}">
              <a16:creationId xmlns:a16="http://schemas.microsoft.com/office/drawing/2014/main" id="{22239C78-30B4-495E-A21A-E90CFC4701F4}"/>
            </a:ext>
          </a:extLst>
        </xdr:cNvPr>
        <xdr:cNvCxnSpPr/>
      </xdr:nvCxnSpPr>
      <xdr:spPr>
        <a:xfrm flipV="1">
          <a:off x="6421034" y="92941539"/>
          <a:ext cx="700208" cy="1701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822021</xdr:colOff>
      <xdr:row>360</xdr:row>
      <xdr:rowOff>142483</xdr:rowOff>
    </xdr:from>
    <xdr:to>
      <xdr:col>6</xdr:col>
      <xdr:colOff>835069</xdr:colOff>
      <xdr:row>363</xdr:row>
      <xdr:rowOff>203484</xdr:rowOff>
    </xdr:to>
    <xdr:cxnSp macro="">
      <xdr:nvCxnSpPr>
        <xdr:cNvPr id="158" name="Straight Connector 157">
          <a:extLst>
            <a:ext uri="{FF2B5EF4-FFF2-40B4-BE49-F238E27FC236}">
              <a16:creationId xmlns:a16="http://schemas.microsoft.com/office/drawing/2014/main" id="{5DF0861C-0B60-4B90-BF69-07434DE98C17}"/>
            </a:ext>
          </a:extLst>
        </xdr:cNvPr>
        <xdr:cNvCxnSpPr>
          <a:cxnSpLocks/>
        </xdr:cNvCxnSpPr>
      </xdr:nvCxnSpPr>
      <xdr:spPr>
        <a:xfrm flipV="1">
          <a:off x="7994346" y="93192208"/>
          <a:ext cx="13048" cy="77537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437486</xdr:colOff>
      <xdr:row>368</xdr:row>
      <xdr:rowOff>48410</xdr:rowOff>
    </xdr:from>
    <xdr:to>
      <xdr:col>11</xdr:col>
      <xdr:colOff>1233410</xdr:colOff>
      <xdr:row>368</xdr:row>
      <xdr:rowOff>48410</xdr:rowOff>
    </xdr:to>
    <xdr:cxnSp macro="">
      <xdr:nvCxnSpPr>
        <xdr:cNvPr id="159" name="Straight Connector 158">
          <a:extLst>
            <a:ext uri="{FF2B5EF4-FFF2-40B4-BE49-F238E27FC236}">
              <a16:creationId xmlns:a16="http://schemas.microsoft.com/office/drawing/2014/main" id="{9249FE3B-E6DE-45FE-A918-4C09C87FB51E}"/>
            </a:ext>
          </a:extLst>
        </xdr:cNvPr>
        <xdr:cNvCxnSpPr/>
      </xdr:nvCxnSpPr>
      <xdr:spPr>
        <a:xfrm>
          <a:off x="11410286" y="95003135"/>
          <a:ext cx="795924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790412</xdr:colOff>
      <xdr:row>369</xdr:row>
      <xdr:rowOff>194125</xdr:rowOff>
    </xdr:from>
    <xdr:to>
      <xdr:col>8</xdr:col>
      <xdr:colOff>618473</xdr:colOff>
      <xdr:row>369</xdr:row>
      <xdr:rowOff>194125</xdr:rowOff>
    </xdr:to>
    <xdr:cxnSp macro="">
      <xdr:nvCxnSpPr>
        <xdr:cNvPr id="160" name="Straight Connector 159">
          <a:extLst>
            <a:ext uri="{FF2B5EF4-FFF2-40B4-BE49-F238E27FC236}">
              <a16:creationId xmlns:a16="http://schemas.microsoft.com/office/drawing/2014/main" id="{E7911B9B-789E-49A9-B264-1309B1DD919B}"/>
            </a:ext>
          </a:extLst>
        </xdr:cNvPr>
        <xdr:cNvCxnSpPr/>
      </xdr:nvCxnSpPr>
      <xdr:spPr>
        <a:xfrm>
          <a:off x="8934287" y="95386975"/>
          <a:ext cx="799611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6</xdr:col>
      <xdr:colOff>774809</xdr:colOff>
      <xdr:row>367</xdr:row>
      <xdr:rowOff>51895</xdr:rowOff>
    </xdr:from>
    <xdr:to>
      <xdr:col>6</xdr:col>
      <xdr:colOff>783021</xdr:colOff>
      <xdr:row>369</xdr:row>
      <xdr:rowOff>219642</xdr:rowOff>
    </xdr:to>
    <xdr:cxnSp macro="">
      <xdr:nvCxnSpPr>
        <xdr:cNvPr id="161" name="Straight Connector 160">
          <a:extLst>
            <a:ext uri="{FF2B5EF4-FFF2-40B4-BE49-F238E27FC236}">
              <a16:creationId xmlns:a16="http://schemas.microsoft.com/office/drawing/2014/main" id="{77C94E02-A61F-40F0-940E-34DBE17FC97B}"/>
            </a:ext>
          </a:extLst>
        </xdr:cNvPr>
        <xdr:cNvCxnSpPr>
          <a:cxnSpLocks/>
        </xdr:cNvCxnSpPr>
      </xdr:nvCxnSpPr>
      <xdr:spPr>
        <a:xfrm flipV="1">
          <a:off x="7947134" y="94768495"/>
          <a:ext cx="8212" cy="64399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206856</xdr:colOff>
      <xdr:row>376</xdr:row>
      <xdr:rowOff>30611</xdr:rowOff>
    </xdr:from>
    <xdr:to>
      <xdr:col>9</xdr:col>
      <xdr:colOff>410561</xdr:colOff>
      <xdr:row>376</xdr:row>
      <xdr:rowOff>41394</xdr:rowOff>
    </xdr:to>
    <xdr:cxnSp macro="">
      <xdr:nvCxnSpPr>
        <xdr:cNvPr id="162" name="Straight Connector 161">
          <a:extLst>
            <a:ext uri="{FF2B5EF4-FFF2-40B4-BE49-F238E27FC236}">
              <a16:creationId xmlns:a16="http://schemas.microsoft.com/office/drawing/2014/main" id="{048C2FF4-6C12-4D7D-A759-1BC260C06EE3}"/>
            </a:ext>
          </a:extLst>
        </xdr:cNvPr>
        <xdr:cNvCxnSpPr/>
      </xdr:nvCxnSpPr>
      <xdr:spPr>
        <a:xfrm>
          <a:off x="9322281" y="96890336"/>
          <a:ext cx="841880" cy="1078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344870</xdr:colOff>
      <xdr:row>380</xdr:row>
      <xdr:rowOff>66028</xdr:rowOff>
    </xdr:from>
    <xdr:to>
      <xdr:col>7</xdr:col>
      <xdr:colOff>344871</xdr:colOff>
      <xdr:row>381</xdr:row>
      <xdr:rowOff>206687</xdr:rowOff>
    </xdr:to>
    <xdr:cxnSp macro="">
      <xdr:nvCxnSpPr>
        <xdr:cNvPr id="163" name="Straight Connector 162">
          <a:extLst>
            <a:ext uri="{FF2B5EF4-FFF2-40B4-BE49-F238E27FC236}">
              <a16:creationId xmlns:a16="http://schemas.microsoft.com/office/drawing/2014/main" id="{1947D93A-54E3-4778-B658-32A45036099E}"/>
            </a:ext>
          </a:extLst>
        </xdr:cNvPr>
        <xdr:cNvCxnSpPr>
          <a:cxnSpLocks/>
        </xdr:cNvCxnSpPr>
      </xdr:nvCxnSpPr>
      <xdr:spPr>
        <a:xfrm flipH="1" flipV="1">
          <a:off x="8488745" y="97878253"/>
          <a:ext cx="1" cy="37878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411575</xdr:colOff>
      <xdr:row>383</xdr:row>
      <xdr:rowOff>204177</xdr:rowOff>
    </xdr:from>
    <xdr:to>
      <xdr:col>10</xdr:col>
      <xdr:colOff>596017</xdr:colOff>
      <xdr:row>383</xdr:row>
      <xdr:rowOff>204177</xdr:rowOff>
    </xdr:to>
    <xdr:cxnSp macro="">
      <xdr:nvCxnSpPr>
        <xdr:cNvPr id="164" name="Straight Connector 163">
          <a:extLst>
            <a:ext uri="{FF2B5EF4-FFF2-40B4-BE49-F238E27FC236}">
              <a16:creationId xmlns:a16="http://schemas.microsoft.com/office/drawing/2014/main" id="{F468FAB2-37F9-4042-9E8B-6D6FAF154758}"/>
            </a:ext>
          </a:extLst>
        </xdr:cNvPr>
        <xdr:cNvCxnSpPr/>
      </xdr:nvCxnSpPr>
      <xdr:spPr>
        <a:xfrm>
          <a:off x="10165175" y="98730777"/>
          <a:ext cx="794042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284931</xdr:colOff>
      <xdr:row>387</xdr:row>
      <xdr:rowOff>168507</xdr:rowOff>
    </xdr:from>
    <xdr:to>
      <xdr:col>7</xdr:col>
      <xdr:colOff>284932</xdr:colOff>
      <xdr:row>389</xdr:row>
      <xdr:rowOff>73495</xdr:rowOff>
    </xdr:to>
    <xdr:cxnSp macro="">
      <xdr:nvCxnSpPr>
        <xdr:cNvPr id="165" name="Straight Connector 164">
          <a:extLst>
            <a:ext uri="{FF2B5EF4-FFF2-40B4-BE49-F238E27FC236}">
              <a16:creationId xmlns:a16="http://schemas.microsoft.com/office/drawing/2014/main" id="{E670F719-F600-42C7-81CA-DA51BA3ED557}"/>
            </a:ext>
          </a:extLst>
        </xdr:cNvPr>
        <xdr:cNvCxnSpPr>
          <a:cxnSpLocks/>
        </xdr:cNvCxnSpPr>
      </xdr:nvCxnSpPr>
      <xdr:spPr>
        <a:xfrm flipH="1" flipV="1">
          <a:off x="8428806" y="99647607"/>
          <a:ext cx="1" cy="381238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731075</xdr:colOff>
      <xdr:row>387</xdr:row>
      <xdr:rowOff>156749</xdr:rowOff>
    </xdr:from>
    <xdr:to>
      <xdr:col>11</xdr:col>
      <xdr:colOff>736954</xdr:colOff>
      <xdr:row>389</xdr:row>
      <xdr:rowOff>133432</xdr:rowOff>
    </xdr:to>
    <xdr:cxnSp macro="">
      <xdr:nvCxnSpPr>
        <xdr:cNvPr id="166" name="Straight Connector 165">
          <a:extLst>
            <a:ext uri="{FF2B5EF4-FFF2-40B4-BE49-F238E27FC236}">
              <a16:creationId xmlns:a16="http://schemas.microsoft.com/office/drawing/2014/main" id="{356F2F54-0BE9-4F34-A210-5F432EBB35D2}"/>
            </a:ext>
          </a:extLst>
        </xdr:cNvPr>
        <xdr:cNvCxnSpPr>
          <a:cxnSpLocks/>
        </xdr:cNvCxnSpPr>
      </xdr:nvCxnSpPr>
      <xdr:spPr>
        <a:xfrm flipV="1">
          <a:off x="11703875" y="99635849"/>
          <a:ext cx="5879" cy="45293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436865</xdr:colOff>
      <xdr:row>377</xdr:row>
      <xdr:rowOff>79641</xdr:rowOff>
    </xdr:from>
    <xdr:to>
      <xdr:col>11</xdr:col>
      <xdr:colOff>449913</xdr:colOff>
      <xdr:row>380</xdr:row>
      <xdr:rowOff>141128</xdr:rowOff>
    </xdr:to>
    <xdr:cxnSp macro="">
      <xdr:nvCxnSpPr>
        <xdr:cNvPr id="167" name="Straight Connector 166">
          <a:extLst>
            <a:ext uri="{FF2B5EF4-FFF2-40B4-BE49-F238E27FC236}">
              <a16:creationId xmlns:a16="http://schemas.microsoft.com/office/drawing/2014/main" id="{0D8661BB-454B-4828-BCB9-AE883AD8F332}"/>
            </a:ext>
          </a:extLst>
        </xdr:cNvPr>
        <xdr:cNvCxnSpPr>
          <a:cxnSpLocks/>
        </xdr:cNvCxnSpPr>
      </xdr:nvCxnSpPr>
      <xdr:spPr>
        <a:xfrm flipV="1">
          <a:off x="11409665" y="97177491"/>
          <a:ext cx="13048" cy="77586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35278</xdr:colOff>
      <xdr:row>375</xdr:row>
      <xdr:rowOff>66434</xdr:rowOff>
    </xdr:from>
    <xdr:to>
      <xdr:col>11</xdr:col>
      <xdr:colOff>952500</xdr:colOff>
      <xdr:row>377</xdr:row>
      <xdr:rowOff>125801</xdr:rowOff>
    </xdr:to>
    <xdr:sp macro="" textlink="">
      <xdr:nvSpPr>
        <xdr:cNvPr id="168" name="Flowchart: Process 167">
          <a:extLst>
            <a:ext uri="{FF2B5EF4-FFF2-40B4-BE49-F238E27FC236}">
              <a16:creationId xmlns:a16="http://schemas.microsoft.com/office/drawing/2014/main" id="{D01EFB6E-AD38-46A9-B25F-D363E0AFC309}"/>
            </a:ext>
          </a:extLst>
        </xdr:cNvPr>
        <xdr:cNvSpPr/>
      </xdr:nvSpPr>
      <xdr:spPr>
        <a:xfrm>
          <a:off x="11008078" y="96688034"/>
          <a:ext cx="917222" cy="535617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Biogas 1489 kg/d</a:t>
          </a:r>
        </a:p>
        <a:p>
          <a:pPr algn="l"/>
          <a:endParaRPr lang="en-VU" sz="1100" baseline="30000"/>
        </a:p>
      </xdr:txBody>
    </xdr:sp>
    <xdr:clientData/>
  </xdr:twoCellAnchor>
  <xdr:twoCellAnchor>
    <xdr:from>
      <xdr:col>15</xdr:col>
      <xdr:colOff>530679</xdr:colOff>
      <xdr:row>354</xdr:row>
      <xdr:rowOff>217714</xdr:rowOff>
    </xdr:from>
    <xdr:to>
      <xdr:col>16</xdr:col>
      <xdr:colOff>176893</xdr:colOff>
      <xdr:row>354</xdr:row>
      <xdr:rowOff>217714</xdr:rowOff>
    </xdr:to>
    <xdr:cxnSp macro="">
      <xdr:nvCxnSpPr>
        <xdr:cNvPr id="169" name="Straight Arrow Connector 168">
          <a:extLst>
            <a:ext uri="{FF2B5EF4-FFF2-40B4-BE49-F238E27FC236}">
              <a16:creationId xmlns:a16="http://schemas.microsoft.com/office/drawing/2014/main" id="{3FF416FB-7629-4868-B54E-1E1E4A72F5D0}"/>
            </a:ext>
          </a:extLst>
        </xdr:cNvPr>
        <xdr:cNvCxnSpPr/>
      </xdr:nvCxnSpPr>
      <xdr:spPr>
        <a:xfrm>
          <a:off x="15370629" y="91838689"/>
          <a:ext cx="25581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368061</xdr:colOff>
      <xdr:row>347</xdr:row>
      <xdr:rowOff>223158</xdr:rowOff>
    </xdr:from>
    <xdr:to>
      <xdr:col>14</xdr:col>
      <xdr:colOff>260231</xdr:colOff>
      <xdr:row>351</xdr:row>
      <xdr:rowOff>44570</xdr:rowOff>
    </xdr:to>
    <xdr:sp macro="" textlink="">
      <xdr:nvSpPr>
        <xdr:cNvPr id="170" name="Flowchart: Process 169">
          <a:extLst>
            <a:ext uri="{FF2B5EF4-FFF2-40B4-BE49-F238E27FC236}">
              <a16:creationId xmlns:a16="http://schemas.microsoft.com/office/drawing/2014/main" id="{B35751B6-A157-4220-825C-A2B15147DB41}"/>
            </a:ext>
          </a:extLst>
        </xdr:cNvPr>
        <xdr:cNvSpPr/>
      </xdr:nvSpPr>
      <xdr:spPr>
        <a:xfrm>
          <a:off x="13826886" y="90177258"/>
          <a:ext cx="663695" cy="77391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32381</a:t>
          </a:r>
        </a:p>
        <a:p>
          <a:pPr algn="ctr"/>
          <a:r>
            <a:rPr lang="en-US" sz="1400" baseline="0"/>
            <a:t>984</a:t>
          </a:r>
        </a:p>
        <a:p>
          <a:pPr algn="ctr"/>
          <a:r>
            <a:rPr lang="en-US" sz="1400" baseline="0"/>
            <a:t>656</a:t>
          </a:r>
        </a:p>
        <a:p>
          <a:pPr algn="ctr"/>
          <a:endParaRPr lang="en-US" sz="1400" baseline="0"/>
        </a:p>
        <a:p>
          <a:pPr algn="l"/>
          <a:endParaRPr lang="en-VU" sz="1100" baseline="30000"/>
        </a:p>
      </xdr:txBody>
    </xdr:sp>
    <xdr:clientData/>
  </xdr:twoCellAnchor>
  <xdr:twoCellAnchor>
    <xdr:from>
      <xdr:col>16</xdr:col>
      <xdr:colOff>232913</xdr:colOff>
      <xdr:row>348</xdr:row>
      <xdr:rowOff>16124</xdr:rowOff>
    </xdr:from>
    <xdr:to>
      <xdr:col>17</xdr:col>
      <xdr:colOff>125083</xdr:colOff>
      <xdr:row>351</xdr:row>
      <xdr:rowOff>71168</xdr:rowOff>
    </xdr:to>
    <xdr:sp macro="" textlink="">
      <xdr:nvSpPr>
        <xdr:cNvPr id="171" name="Flowchart: Process 170">
          <a:extLst>
            <a:ext uri="{FF2B5EF4-FFF2-40B4-BE49-F238E27FC236}">
              <a16:creationId xmlns:a16="http://schemas.microsoft.com/office/drawing/2014/main" id="{5D987D6F-FAB2-4B9F-BF9F-77543F5854EC}"/>
            </a:ext>
          </a:extLst>
        </xdr:cNvPr>
        <xdr:cNvSpPr/>
      </xdr:nvSpPr>
      <xdr:spPr>
        <a:xfrm>
          <a:off x="15682463" y="90208349"/>
          <a:ext cx="739895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32381</a:t>
          </a:r>
        </a:p>
        <a:p>
          <a:pPr algn="ctr"/>
          <a:r>
            <a:rPr lang="en-US" sz="1400" baseline="0"/>
            <a:t>324</a:t>
          </a:r>
        </a:p>
        <a:p>
          <a:pPr algn="ctr"/>
          <a:r>
            <a:rPr lang="en-US" sz="1400" baseline="0"/>
            <a:t>324</a:t>
          </a:r>
          <a:endParaRPr lang="en-VU" sz="1100" baseline="30000"/>
        </a:p>
      </xdr:txBody>
    </xdr:sp>
    <xdr:clientData/>
  </xdr:twoCellAnchor>
  <xdr:twoCellAnchor>
    <xdr:from>
      <xdr:col>11</xdr:col>
      <xdr:colOff>1222075</xdr:colOff>
      <xdr:row>358</xdr:row>
      <xdr:rowOff>197689</xdr:rowOff>
    </xdr:from>
    <xdr:to>
      <xdr:col>12</xdr:col>
      <xdr:colOff>17971</xdr:colOff>
      <xdr:row>362</xdr:row>
      <xdr:rowOff>19100</xdr:rowOff>
    </xdr:to>
    <xdr:sp macro="" textlink="">
      <xdr:nvSpPr>
        <xdr:cNvPr id="172" name="Flowchart: Process 171">
          <a:extLst>
            <a:ext uri="{FF2B5EF4-FFF2-40B4-BE49-F238E27FC236}">
              <a16:creationId xmlns:a16="http://schemas.microsoft.com/office/drawing/2014/main" id="{F2112ECD-FEB7-47B1-ACFA-B484F953EA03}"/>
            </a:ext>
          </a:extLst>
        </xdr:cNvPr>
        <xdr:cNvSpPr/>
      </xdr:nvSpPr>
      <xdr:spPr>
        <a:xfrm>
          <a:off x="12194875" y="92771164"/>
          <a:ext cx="672321" cy="77391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253</a:t>
          </a:r>
        </a:p>
        <a:p>
          <a:pPr algn="ctr"/>
          <a:r>
            <a:rPr lang="en-US" sz="1400" baseline="0"/>
            <a:t>1770</a:t>
          </a:r>
        </a:p>
        <a:p>
          <a:pPr algn="ctr"/>
          <a:r>
            <a:rPr lang="en-US" sz="1400" baseline="0"/>
            <a:t>1342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11</xdr:col>
      <xdr:colOff>1240047</xdr:colOff>
      <xdr:row>366</xdr:row>
      <xdr:rowOff>125803</xdr:rowOff>
    </xdr:from>
    <xdr:to>
      <xdr:col>12</xdr:col>
      <xdr:colOff>35943</xdr:colOff>
      <xdr:row>369</xdr:row>
      <xdr:rowOff>180847</xdr:rowOff>
    </xdr:to>
    <xdr:sp macro="" textlink="">
      <xdr:nvSpPr>
        <xdr:cNvPr id="173" name="Flowchart: Process 172">
          <a:extLst>
            <a:ext uri="{FF2B5EF4-FFF2-40B4-BE49-F238E27FC236}">
              <a16:creationId xmlns:a16="http://schemas.microsoft.com/office/drawing/2014/main" id="{E3D7E801-B850-433C-830F-BA48433FEB1F}"/>
            </a:ext>
          </a:extLst>
        </xdr:cNvPr>
        <xdr:cNvSpPr/>
      </xdr:nvSpPr>
      <xdr:spPr>
        <a:xfrm>
          <a:off x="12212847" y="94604278"/>
          <a:ext cx="672321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32</a:t>
          </a:r>
        </a:p>
        <a:p>
          <a:pPr algn="ctr"/>
          <a:r>
            <a:rPr lang="en-US" sz="1400" baseline="0"/>
            <a:t>1593</a:t>
          </a:r>
        </a:p>
        <a:p>
          <a:pPr algn="ctr"/>
          <a:r>
            <a:rPr lang="en-US" sz="1400" baseline="0"/>
            <a:t>1230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10</xdr:col>
      <xdr:colOff>575094</xdr:colOff>
      <xdr:row>382</xdr:row>
      <xdr:rowOff>71887</xdr:rowOff>
    </xdr:from>
    <xdr:to>
      <xdr:col>11</xdr:col>
      <xdr:colOff>629009</xdr:colOff>
      <xdr:row>385</xdr:row>
      <xdr:rowOff>126931</xdr:rowOff>
    </xdr:to>
    <xdr:sp macro="" textlink="">
      <xdr:nvSpPr>
        <xdr:cNvPr id="174" name="Flowchart: Process 173">
          <a:extLst>
            <a:ext uri="{FF2B5EF4-FFF2-40B4-BE49-F238E27FC236}">
              <a16:creationId xmlns:a16="http://schemas.microsoft.com/office/drawing/2014/main" id="{14523BA7-1D1D-4DC5-B10D-F809D50BA965}"/>
            </a:ext>
          </a:extLst>
        </xdr:cNvPr>
        <xdr:cNvSpPr/>
      </xdr:nvSpPr>
      <xdr:spPr>
        <a:xfrm>
          <a:off x="10938294" y="98360362"/>
          <a:ext cx="663515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94</a:t>
          </a:r>
        </a:p>
        <a:p>
          <a:pPr algn="ctr"/>
          <a:r>
            <a:rPr lang="en-US" sz="1400" baseline="0"/>
            <a:t>4695</a:t>
          </a:r>
        </a:p>
        <a:p>
          <a:pPr algn="ctr"/>
          <a:r>
            <a:rPr lang="en-US" sz="1400" baseline="0"/>
            <a:t>2806</a:t>
          </a:r>
        </a:p>
        <a:p>
          <a:pPr algn="ctr"/>
          <a:endParaRPr lang="en-VU" sz="1100" baseline="30000"/>
        </a:p>
      </xdr:txBody>
    </xdr:sp>
    <xdr:clientData/>
  </xdr:twoCellAnchor>
  <xdr:twoCellAnchor>
    <xdr:from>
      <xdr:col>6</xdr:col>
      <xdr:colOff>898585</xdr:colOff>
      <xdr:row>389</xdr:row>
      <xdr:rowOff>17971</xdr:rowOff>
    </xdr:from>
    <xdr:to>
      <xdr:col>7</xdr:col>
      <xdr:colOff>593066</xdr:colOff>
      <xdr:row>392</xdr:row>
      <xdr:rowOff>73015</xdr:rowOff>
    </xdr:to>
    <xdr:sp macro="" textlink="">
      <xdr:nvSpPr>
        <xdr:cNvPr id="175" name="Flowchart: Process 174">
          <a:extLst>
            <a:ext uri="{FF2B5EF4-FFF2-40B4-BE49-F238E27FC236}">
              <a16:creationId xmlns:a16="http://schemas.microsoft.com/office/drawing/2014/main" id="{C7B0F403-4BCE-43B9-867F-59E8C336F645}"/>
            </a:ext>
          </a:extLst>
        </xdr:cNvPr>
        <xdr:cNvSpPr/>
      </xdr:nvSpPr>
      <xdr:spPr>
        <a:xfrm>
          <a:off x="8070910" y="99973321"/>
          <a:ext cx="666031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77</a:t>
          </a:r>
        </a:p>
        <a:p>
          <a:pPr algn="ctr"/>
          <a:r>
            <a:rPr lang="en-US" sz="1400" baseline="0"/>
            <a:t>154</a:t>
          </a:r>
        </a:p>
        <a:p>
          <a:pPr algn="ctr"/>
          <a:r>
            <a:rPr lang="en-US" sz="1400" baseline="0"/>
            <a:t>470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7</xdr:col>
      <xdr:colOff>17972</xdr:colOff>
      <xdr:row>381</xdr:row>
      <xdr:rowOff>179717</xdr:rowOff>
    </xdr:from>
    <xdr:to>
      <xdr:col>7</xdr:col>
      <xdr:colOff>682925</xdr:colOff>
      <xdr:row>385</xdr:row>
      <xdr:rowOff>1129</xdr:rowOff>
    </xdr:to>
    <xdr:sp macro="" textlink="">
      <xdr:nvSpPr>
        <xdr:cNvPr id="176" name="Flowchart: Process 175">
          <a:extLst>
            <a:ext uri="{FF2B5EF4-FFF2-40B4-BE49-F238E27FC236}">
              <a16:creationId xmlns:a16="http://schemas.microsoft.com/office/drawing/2014/main" id="{7E2E336C-5C7E-4C65-B2E9-B169200CB1F6}"/>
            </a:ext>
          </a:extLst>
        </xdr:cNvPr>
        <xdr:cNvSpPr/>
      </xdr:nvSpPr>
      <xdr:spPr>
        <a:xfrm>
          <a:off x="8161847" y="98230067"/>
          <a:ext cx="664953" cy="773912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37</a:t>
          </a:r>
        </a:p>
        <a:p>
          <a:pPr algn="ctr"/>
          <a:r>
            <a:rPr lang="en-US" sz="1400" baseline="0"/>
            <a:t>186</a:t>
          </a:r>
        </a:p>
        <a:p>
          <a:pPr algn="ctr"/>
          <a:r>
            <a:rPr lang="en-US" sz="1400" baseline="0"/>
            <a:t>37</a:t>
          </a:r>
        </a:p>
        <a:p>
          <a:pPr algn="ctr"/>
          <a:endParaRPr lang="en-VU" sz="1100" baseline="30000"/>
        </a:p>
      </xdr:txBody>
    </xdr:sp>
    <xdr:clientData/>
  </xdr:twoCellAnchor>
  <xdr:twoCellAnchor>
    <xdr:from>
      <xdr:col>7</xdr:col>
      <xdr:colOff>485236</xdr:colOff>
      <xdr:row>374</xdr:row>
      <xdr:rowOff>143773</xdr:rowOff>
    </xdr:from>
    <xdr:to>
      <xdr:col>8</xdr:col>
      <xdr:colOff>179717</xdr:colOff>
      <xdr:row>377</xdr:row>
      <xdr:rowOff>198817</xdr:rowOff>
    </xdr:to>
    <xdr:sp macro="" textlink="">
      <xdr:nvSpPr>
        <xdr:cNvPr id="177" name="Flowchart: Process 176">
          <a:extLst>
            <a:ext uri="{FF2B5EF4-FFF2-40B4-BE49-F238E27FC236}">
              <a16:creationId xmlns:a16="http://schemas.microsoft.com/office/drawing/2014/main" id="{A9A68DA3-E448-4E6D-A0D7-4B59D7A5B098}"/>
            </a:ext>
          </a:extLst>
        </xdr:cNvPr>
        <xdr:cNvSpPr/>
      </xdr:nvSpPr>
      <xdr:spPr>
        <a:xfrm>
          <a:off x="8629111" y="96527248"/>
          <a:ext cx="666031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133</a:t>
          </a:r>
        </a:p>
        <a:p>
          <a:pPr algn="ctr"/>
          <a:r>
            <a:rPr lang="en-US" sz="1400" baseline="0"/>
            <a:t>7632</a:t>
          </a:r>
        </a:p>
        <a:p>
          <a:pPr algn="ctr"/>
          <a:r>
            <a:rPr lang="en-US" sz="1400" baseline="0"/>
            <a:t>4428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8</xdr:col>
      <xdr:colOff>629010</xdr:colOff>
      <xdr:row>367</xdr:row>
      <xdr:rowOff>161745</xdr:rowOff>
    </xdr:from>
    <xdr:to>
      <xdr:col>10</xdr:col>
      <xdr:colOff>35945</xdr:colOff>
      <xdr:row>370</xdr:row>
      <xdr:rowOff>216789</xdr:rowOff>
    </xdr:to>
    <xdr:sp macro="" textlink="">
      <xdr:nvSpPr>
        <xdr:cNvPr id="178" name="Flowchart: Process 177">
          <a:extLst>
            <a:ext uri="{FF2B5EF4-FFF2-40B4-BE49-F238E27FC236}">
              <a16:creationId xmlns:a16="http://schemas.microsoft.com/office/drawing/2014/main" id="{511CD406-1202-4662-BE0A-94C3E1EDAF16}"/>
            </a:ext>
          </a:extLst>
        </xdr:cNvPr>
        <xdr:cNvSpPr/>
      </xdr:nvSpPr>
      <xdr:spPr>
        <a:xfrm>
          <a:off x="9744435" y="94878345"/>
          <a:ext cx="654710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101</a:t>
          </a:r>
        </a:p>
        <a:p>
          <a:pPr algn="ctr"/>
          <a:r>
            <a:rPr lang="en-US" sz="1400" baseline="0"/>
            <a:t>6040</a:t>
          </a:r>
        </a:p>
        <a:p>
          <a:pPr algn="ctr"/>
          <a:r>
            <a:rPr lang="en-US" sz="1400" baseline="0"/>
            <a:t>3198</a:t>
          </a:r>
        </a:p>
        <a:p>
          <a:pPr algn="ctr"/>
          <a:endParaRPr lang="en-VU" sz="1100" baseline="30000"/>
        </a:p>
      </xdr:txBody>
    </xdr:sp>
    <xdr:clientData/>
  </xdr:twoCellAnchor>
  <xdr:twoCellAnchor>
    <xdr:from>
      <xdr:col>6</xdr:col>
      <xdr:colOff>449293</xdr:colOff>
      <xdr:row>369</xdr:row>
      <xdr:rowOff>53915</xdr:rowOff>
    </xdr:from>
    <xdr:to>
      <xdr:col>7</xdr:col>
      <xdr:colOff>143774</xdr:colOff>
      <xdr:row>372</xdr:row>
      <xdr:rowOff>108958</xdr:rowOff>
    </xdr:to>
    <xdr:sp macro="" textlink="">
      <xdr:nvSpPr>
        <xdr:cNvPr id="179" name="Flowchart: Process 178">
          <a:extLst>
            <a:ext uri="{FF2B5EF4-FFF2-40B4-BE49-F238E27FC236}">
              <a16:creationId xmlns:a16="http://schemas.microsoft.com/office/drawing/2014/main" id="{1DD92DFB-3BD0-410D-AB86-C51324C6A6BD}"/>
            </a:ext>
          </a:extLst>
        </xdr:cNvPr>
        <xdr:cNvSpPr/>
      </xdr:nvSpPr>
      <xdr:spPr>
        <a:xfrm>
          <a:off x="7621618" y="95246765"/>
          <a:ext cx="666031" cy="769418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77</a:t>
          </a:r>
        </a:p>
        <a:p>
          <a:pPr algn="ctr"/>
          <a:r>
            <a:rPr lang="en-US" sz="1400" baseline="0"/>
            <a:t>1066</a:t>
          </a:r>
        </a:p>
        <a:p>
          <a:pPr algn="ctr"/>
          <a:r>
            <a:rPr lang="en-US" sz="1400" baseline="0"/>
            <a:t>564</a:t>
          </a:r>
        </a:p>
        <a:p>
          <a:pPr algn="ctr"/>
          <a:endParaRPr lang="en-VU" sz="1100" baseline="30000"/>
        </a:p>
      </xdr:txBody>
    </xdr:sp>
    <xdr:clientData/>
  </xdr:twoCellAnchor>
  <xdr:twoCellAnchor>
    <xdr:from>
      <xdr:col>6</xdr:col>
      <xdr:colOff>521180</xdr:colOff>
      <xdr:row>358</xdr:row>
      <xdr:rowOff>17972</xdr:rowOff>
    </xdr:from>
    <xdr:to>
      <xdr:col>7</xdr:col>
      <xdr:colOff>215661</xdr:colOff>
      <xdr:row>361</xdr:row>
      <xdr:rowOff>73015</xdr:rowOff>
    </xdr:to>
    <xdr:sp macro="" textlink="">
      <xdr:nvSpPr>
        <xdr:cNvPr id="180" name="Flowchart: Process 179">
          <a:extLst>
            <a:ext uri="{FF2B5EF4-FFF2-40B4-BE49-F238E27FC236}">
              <a16:creationId xmlns:a16="http://schemas.microsoft.com/office/drawing/2014/main" id="{D49FD2B6-E485-4A4C-9E96-A67DAAA73FA0}"/>
            </a:ext>
          </a:extLst>
        </xdr:cNvPr>
        <xdr:cNvSpPr/>
      </xdr:nvSpPr>
      <xdr:spPr>
        <a:xfrm>
          <a:off x="7693505" y="92591447"/>
          <a:ext cx="666031" cy="769418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221</a:t>
          </a:r>
        </a:p>
        <a:p>
          <a:pPr algn="ctr"/>
          <a:r>
            <a:rPr lang="en-US" sz="1400" baseline="0"/>
            <a:t>177</a:t>
          </a:r>
        </a:p>
        <a:p>
          <a:pPr algn="ctr"/>
          <a:r>
            <a:rPr lang="en-US" sz="1400" baseline="0"/>
            <a:t>111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8</xdr:col>
      <xdr:colOff>593066</xdr:colOff>
      <xdr:row>357</xdr:row>
      <xdr:rowOff>35944</xdr:rowOff>
    </xdr:from>
    <xdr:to>
      <xdr:col>10</xdr:col>
      <xdr:colOff>1</xdr:colOff>
      <xdr:row>360</xdr:row>
      <xdr:rowOff>90987</xdr:rowOff>
    </xdr:to>
    <xdr:sp macro="" textlink="">
      <xdr:nvSpPr>
        <xdr:cNvPr id="181" name="Flowchart: Process 180">
          <a:extLst>
            <a:ext uri="{FF2B5EF4-FFF2-40B4-BE49-F238E27FC236}">
              <a16:creationId xmlns:a16="http://schemas.microsoft.com/office/drawing/2014/main" id="{4EF1918A-665A-46E7-A9CA-FAA7FD6832E9}"/>
            </a:ext>
          </a:extLst>
        </xdr:cNvPr>
        <xdr:cNvSpPr/>
      </xdr:nvSpPr>
      <xdr:spPr>
        <a:xfrm>
          <a:off x="9708491" y="92371294"/>
          <a:ext cx="654710" cy="769418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178</a:t>
          </a:r>
        </a:p>
        <a:p>
          <a:pPr algn="ctr"/>
          <a:r>
            <a:rPr lang="en-US" sz="1400" baseline="0"/>
            <a:t>7105</a:t>
          </a:r>
        </a:p>
        <a:p>
          <a:pPr algn="ctr"/>
          <a:r>
            <a:rPr lang="en-US" sz="1400" baseline="0"/>
            <a:t>3492</a:t>
          </a:r>
        </a:p>
        <a:p>
          <a:pPr algn="ctr"/>
          <a:endParaRPr lang="en-VU" sz="1100" baseline="30000"/>
        </a:p>
      </xdr:txBody>
    </xdr:sp>
    <xdr:clientData/>
  </xdr:twoCellAnchor>
  <xdr:twoCellAnchor>
    <xdr:from>
      <xdr:col>4</xdr:col>
      <xdr:colOff>700896</xdr:colOff>
      <xdr:row>358</xdr:row>
      <xdr:rowOff>0</xdr:rowOff>
    </xdr:from>
    <xdr:to>
      <xdr:col>5</xdr:col>
      <xdr:colOff>395377</xdr:colOff>
      <xdr:row>361</xdr:row>
      <xdr:rowOff>55043</xdr:rowOff>
    </xdr:to>
    <xdr:sp macro="" textlink="">
      <xdr:nvSpPr>
        <xdr:cNvPr id="182" name="Flowchart: Process 181">
          <a:extLst>
            <a:ext uri="{FF2B5EF4-FFF2-40B4-BE49-F238E27FC236}">
              <a16:creationId xmlns:a16="http://schemas.microsoft.com/office/drawing/2014/main" id="{0E734C65-762E-4526-A3A4-E64E3F1A8004}"/>
            </a:ext>
          </a:extLst>
        </xdr:cNvPr>
        <xdr:cNvSpPr/>
      </xdr:nvSpPr>
      <xdr:spPr>
        <a:xfrm>
          <a:off x="5596746" y="92573475"/>
          <a:ext cx="856531" cy="769418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412</a:t>
          </a:r>
        </a:p>
        <a:p>
          <a:pPr algn="ctr"/>
          <a:r>
            <a:rPr lang="en-US" sz="1400" baseline="0"/>
            <a:t>1898</a:t>
          </a:r>
        </a:p>
        <a:p>
          <a:pPr algn="ctr"/>
          <a:r>
            <a:rPr lang="en-US" sz="1400" baseline="0"/>
            <a:t>866</a:t>
          </a:r>
        </a:p>
        <a:p>
          <a:pPr algn="ctr"/>
          <a:endParaRPr lang="en-US" sz="1400" baseline="0"/>
        </a:p>
        <a:p>
          <a:pPr algn="ctr"/>
          <a:endParaRPr lang="en-VU" sz="1100" baseline="30000"/>
        </a:p>
      </xdr:txBody>
    </xdr:sp>
    <xdr:clientData/>
  </xdr:twoCellAnchor>
  <xdr:twoCellAnchor>
    <xdr:from>
      <xdr:col>11</xdr:col>
      <xdr:colOff>413350</xdr:colOff>
      <xdr:row>389</xdr:row>
      <xdr:rowOff>35944</xdr:rowOff>
    </xdr:from>
    <xdr:to>
      <xdr:col>11</xdr:col>
      <xdr:colOff>1078303</xdr:colOff>
      <xdr:row>392</xdr:row>
      <xdr:rowOff>90988</xdr:rowOff>
    </xdr:to>
    <xdr:sp macro="" textlink="">
      <xdr:nvSpPr>
        <xdr:cNvPr id="183" name="Flowchart: Process 182">
          <a:extLst>
            <a:ext uri="{FF2B5EF4-FFF2-40B4-BE49-F238E27FC236}">
              <a16:creationId xmlns:a16="http://schemas.microsoft.com/office/drawing/2014/main" id="{3B10AF69-3433-41A6-A490-A604E3B0255E}"/>
            </a:ext>
          </a:extLst>
        </xdr:cNvPr>
        <xdr:cNvSpPr/>
      </xdr:nvSpPr>
      <xdr:spPr>
        <a:xfrm>
          <a:off x="11386150" y="99991294"/>
          <a:ext cx="664953" cy="769419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 baseline="0"/>
            <a:t>17</a:t>
          </a:r>
        </a:p>
        <a:p>
          <a:pPr algn="ctr"/>
          <a:r>
            <a:rPr lang="en-US" sz="1400" baseline="0"/>
            <a:t>4226</a:t>
          </a:r>
        </a:p>
        <a:p>
          <a:pPr algn="ctr"/>
          <a:r>
            <a:rPr lang="en-US" sz="1400" baseline="0"/>
            <a:t>2652</a:t>
          </a:r>
        </a:p>
        <a:p>
          <a:pPr algn="ctr"/>
          <a:endParaRPr lang="en-VU" sz="1100" baseline="30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25</xdr:col>
      <xdr:colOff>180333</xdr:colOff>
      <xdr:row>100</xdr:row>
      <xdr:rowOff>126999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97F55-0CC1-41A9-92BF-75B64CC9B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5501408" y="23147866"/>
          <a:ext cx="8510475" cy="32967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72D9C7-101F-4DF1-A2CB-920ED4C34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2414250" y="39303324"/>
          <a:ext cx="3010125" cy="1308102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390698</xdr:colOff>
      <xdr:row>148</xdr:row>
      <xdr:rowOff>111124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BD2F90-C900-4511-A5DC-10C8D0DB8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2160250" y="37487225"/>
          <a:ext cx="5546899" cy="1704974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19</xdr:col>
      <xdr:colOff>522362</xdr:colOff>
      <xdr:row>163</xdr:row>
      <xdr:rowOff>2939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63CDFE-177E-475F-A8BA-9CA64FAFC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1890375" y="41144823"/>
          <a:ext cx="7139062" cy="1939691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22</xdr:col>
      <xdr:colOff>804432</xdr:colOff>
      <xdr:row>212</xdr:row>
      <xdr:rowOff>285748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F368EB-864D-49AE-A830-A20F36D92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4912068" y="55703560"/>
          <a:ext cx="7133114" cy="69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21</xdr:col>
      <xdr:colOff>610353</xdr:colOff>
      <xdr:row>209</xdr:row>
      <xdr:rowOff>81641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254C8C-3C9B-4525-8FBE-B5411BA79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5899944" y="54345568"/>
          <a:ext cx="4931984" cy="1028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25</xdr:col>
      <xdr:colOff>180333</xdr:colOff>
      <xdr:row>100</xdr:row>
      <xdr:rowOff>126999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AEA47-8557-4879-901C-CB9243602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4272683" y="22328716"/>
          <a:ext cx="8491125" cy="32967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A307A6-7BCF-4F58-A445-B04138C78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1185525" y="38484174"/>
          <a:ext cx="3010125" cy="1308101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390699</xdr:colOff>
      <xdr:row>148</xdr:row>
      <xdr:rowOff>111124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7C21A-D325-4DC8-A487-6474D5166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0931525" y="36668075"/>
          <a:ext cx="5542586" cy="170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19</xdr:col>
      <xdr:colOff>522362</xdr:colOff>
      <xdr:row>163</xdr:row>
      <xdr:rowOff>2939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64AE49-EB0B-4216-9AA3-7AC4FDCB2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0661650" y="40325673"/>
          <a:ext cx="7135049" cy="193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22</xdr:col>
      <xdr:colOff>804432</xdr:colOff>
      <xdr:row>212</xdr:row>
      <xdr:rowOff>285748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68BDC7-87BF-42FE-A48C-47A3CCABD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3683343" y="54884410"/>
          <a:ext cx="7119514" cy="69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21</xdr:col>
      <xdr:colOff>610353</xdr:colOff>
      <xdr:row>209</xdr:row>
      <xdr:rowOff>81641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7D9907-949B-450B-9E74-676842851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4671219" y="53526418"/>
          <a:ext cx="4923658" cy="1028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29</xdr:col>
      <xdr:colOff>46683</xdr:colOff>
      <xdr:row>100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1E950-B3DA-4650-A6E8-4B5C6EDA6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4272683" y="22328716"/>
          <a:ext cx="8491125" cy="32967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95E7F5-11B6-43E9-AF56-C77E1CE8F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1185525" y="38484174"/>
          <a:ext cx="3010125" cy="1308101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462586</xdr:colOff>
      <xdr:row>148</xdr:row>
      <xdr:rowOff>111124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BD66B1-17E7-4F81-9B72-E8D1BE138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0931525" y="36668075"/>
          <a:ext cx="5542586" cy="170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20</xdr:col>
      <xdr:colOff>565974</xdr:colOff>
      <xdr:row>162</xdr:row>
      <xdr:rowOff>238124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01E91-B7EA-4258-A40D-EE4882EED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0661650" y="40325673"/>
          <a:ext cx="7135049" cy="193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25</xdr:col>
      <xdr:colOff>524132</xdr:colOff>
      <xdr:row>212</xdr:row>
      <xdr:rowOff>285748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924F75-F8FE-406F-9CA0-EB8A9C14B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3683343" y="54884410"/>
          <a:ext cx="7119514" cy="69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23</xdr:col>
      <xdr:colOff>535352</xdr:colOff>
      <xdr:row>209</xdr:row>
      <xdr:rowOff>81642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28FC0-CF1A-40D8-A589-4CC7DEB2C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4671219" y="53526418"/>
          <a:ext cx="4923658" cy="10286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29</xdr:col>
      <xdr:colOff>46683</xdr:colOff>
      <xdr:row>100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2E122-D640-419E-BE29-39B2FBE98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3834533" y="22328716"/>
          <a:ext cx="8491125" cy="32967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4F77F1-510E-4C9F-ADA3-96C15AA8C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0747375" y="38484174"/>
          <a:ext cx="3010125" cy="1308101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462586</xdr:colOff>
      <xdr:row>148</xdr:row>
      <xdr:rowOff>111124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834871-5C39-4522-9D79-A6E4F5EAE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0493375" y="36668075"/>
          <a:ext cx="5542586" cy="170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20</xdr:col>
      <xdr:colOff>565974</xdr:colOff>
      <xdr:row>162</xdr:row>
      <xdr:rowOff>238124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06798C-D76F-41B8-B3D6-71B08ACEE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0223500" y="40325673"/>
          <a:ext cx="7135048" cy="193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25</xdr:col>
      <xdr:colOff>524132</xdr:colOff>
      <xdr:row>212</xdr:row>
      <xdr:rowOff>285748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2502C3-5358-4FE7-810E-ABFFA636E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3245193" y="54884410"/>
          <a:ext cx="7119514" cy="69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23</xdr:col>
      <xdr:colOff>535352</xdr:colOff>
      <xdr:row>209</xdr:row>
      <xdr:rowOff>81642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0CF2BF-B806-40DF-A7F2-8DFCCA083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4233069" y="53526418"/>
          <a:ext cx="4923659" cy="10286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251883</xdr:colOff>
      <xdr:row>87</xdr:row>
      <xdr:rowOff>230716</xdr:rowOff>
    </xdr:from>
    <xdr:to>
      <xdr:col>19</xdr:col>
      <xdr:colOff>3550042</xdr:colOff>
      <xdr:row>100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6271F-9B60-F67C-093E-822700AA8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745" t="24186" r="57986" b="52004"/>
        <a:stretch/>
      </xdr:blipFill>
      <xdr:spPr>
        <a:xfrm>
          <a:off x="13539258" y="22487466"/>
          <a:ext cx="8414926" cy="3309409"/>
        </a:xfrm>
        <a:prstGeom prst="rect">
          <a:avLst/>
        </a:prstGeom>
      </xdr:spPr>
    </xdr:pic>
    <xdr:clientData/>
  </xdr:twoCellAnchor>
  <xdr:twoCellAnchor editAs="oneCell">
    <xdr:from>
      <xdr:col>11</xdr:col>
      <xdr:colOff>1031875</xdr:colOff>
      <xdr:row>148</xdr:row>
      <xdr:rowOff>222249</xdr:rowOff>
    </xdr:from>
    <xdr:to>
      <xdr:col>15</xdr:col>
      <xdr:colOff>174850</xdr:colOff>
      <xdr:row>153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20B1D8-0CE6-92C7-2272-E11347C81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897" t="54200" r="23288" b="39899"/>
        <a:stretch/>
      </xdr:blipFill>
      <xdr:spPr>
        <a:xfrm>
          <a:off x="10636250" y="39369999"/>
          <a:ext cx="3000376" cy="1317626"/>
        </a:xfrm>
        <a:prstGeom prst="rect">
          <a:avLst/>
        </a:prstGeom>
      </xdr:spPr>
    </xdr:pic>
    <xdr:clientData/>
  </xdr:twoCellAnchor>
  <xdr:twoCellAnchor editAs="oneCell">
    <xdr:from>
      <xdr:col>11</xdr:col>
      <xdr:colOff>777875</xdr:colOff>
      <xdr:row>142</xdr:row>
      <xdr:rowOff>63500</xdr:rowOff>
    </xdr:from>
    <xdr:to>
      <xdr:col>18</xdr:col>
      <xdr:colOff>462586</xdr:colOff>
      <xdr:row>148</xdr:row>
      <xdr:rowOff>111124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969BB7-6E81-C704-EFFC-7B53F08EF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94" t="42477" r="20916" b="50628"/>
        <a:stretch/>
      </xdr:blipFill>
      <xdr:spPr>
        <a:xfrm>
          <a:off x="10382250" y="37528500"/>
          <a:ext cx="5526040" cy="17303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155</xdr:row>
      <xdr:rowOff>158748</xdr:rowOff>
    </xdr:from>
    <xdr:to>
      <xdr:col>18</xdr:col>
      <xdr:colOff>1778351</xdr:colOff>
      <xdr:row>162</xdr:row>
      <xdr:rowOff>238124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C0E9BB-678D-34FD-7E11-17EF07702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59" t="56815" r="12300" b="30214"/>
        <a:stretch/>
      </xdr:blipFill>
      <xdr:spPr>
        <a:xfrm>
          <a:off x="10112375" y="41227373"/>
          <a:ext cx="7105803" cy="1968501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272143</xdr:colOff>
      <xdr:row>210</xdr:row>
      <xdr:rowOff>163285</xdr:rowOff>
    </xdr:from>
    <xdr:to>
      <xdr:col>19</xdr:col>
      <xdr:colOff>1586831</xdr:colOff>
      <xdr:row>212</xdr:row>
      <xdr:rowOff>285749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A24EF9C-DFAF-48B0-D03F-3A5BF99C0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95" t="50518" r="17438" b="46383"/>
        <a:stretch/>
      </xdr:blipFill>
      <xdr:spPr>
        <a:xfrm>
          <a:off x="13008429" y="55517142"/>
          <a:ext cx="7150810" cy="693964"/>
        </a:xfrm>
        <a:prstGeom prst="rect">
          <a:avLst/>
        </a:prstGeom>
      </xdr:spPr>
    </xdr:pic>
    <xdr:clientData/>
  </xdr:twoCellAnchor>
  <xdr:twoCellAnchor editAs="oneCell">
    <xdr:from>
      <xdr:col>16</xdr:col>
      <xdr:colOff>40819</xdr:colOff>
      <xdr:row>205</xdr:row>
      <xdr:rowOff>176893</xdr:rowOff>
    </xdr:from>
    <xdr:to>
      <xdr:col>19</xdr:col>
      <xdr:colOff>373408</xdr:colOff>
      <xdr:row>209</xdr:row>
      <xdr:rowOff>81643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CD4348-A246-F458-997C-4B270ABBE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860" t="49666" r="21057" b="45979"/>
        <a:stretch/>
      </xdr:blipFill>
      <xdr:spPr>
        <a:xfrm>
          <a:off x="14001748" y="54142822"/>
          <a:ext cx="4944069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72511-B652-4B59-9551-99D164816CC1}">
  <dimension ref="A1:T394"/>
  <sheetViews>
    <sheetView tabSelected="1" topLeftCell="A374" zoomScale="60" zoomScaleNormal="53" workbookViewId="0">
      <selection activeCell="D348" sqref="D348:S394"/>
    </sheetView>
  </sheetViews>
  <sheetFormatPr defaultRowHeight="18.75" x14ac:dyDescent="0.3"/>
  <cols>
    <col min="1" max="1" width="5" style="1" bestFit="1" customWidth="1"/>
    <col min="2" max="2" width="30.42578125" style="4" customWidth="1"/>
    <col min="3" max="3" width="20.5703125" style="4" customWidth="1"/>
    <col min="4" max="5" width="17.42578125" style="4" customWidth="1"/>
    <col min="6" max="6" width="16.7109375" style="4" customWidth="1"/>
    <col min="7" max="8" width="14.5703125" style="4" customWidth="1"/>
    <col min="9" max="9" width="9.5703125" style="4" customWidth="1"/>
    <col min="10" max="11" width="9.140625" style="4" customWidth="1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2.7109375" style="4" customWidth="1"/>
    <col min="18" max="18" width="9.140625" style="4" customWidth="1"/>
    <col min="19" max="19" width="17.85546875" style="4" customWidth="1"/>
    <col min="20" max="20" width="19" style="4" customWidth="1"/>
    <col min="21" max="21" width="6.7109375" style="4" customWidth="1"/>
    <col min="22" max="22" width="15.28515625" style="4" customWidth="1"/>
    <col min="23" max="23" width="12.85546875" style="4" customWidth="1"/>
    <col min="24" max="24" width="14.140625" style="4" customWidth="1"/>
    <col min="25" max="25" width="11.85546875" style="4" customWidth="1"/>
    <col min="26" max="26" width="10.28515625" style="4" customWidth="1"/>
    <col min="27" max="16384" width="9.140625" style="4"/>
  </cols>
  <sheetData>
    <row r="1" spans="1:17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7" x14ac:dyDescent="0.3">
      <c r="B2" s="5"/>
    </row>
    <row r="3" spans="1:17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7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7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7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7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7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7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17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17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1">
        <f>'5th Iteration'!C273</f>
        <v>411.88827155422462</v>
      </c>
      <c r="I11" s="10" t="s">
        <v>7</v>
      </c>
    </row>
    <row r="12" spans="1:17" ht="23.25" thickBot="1" x14ac:dyDescent="0.35">
      <c r="A12" s="8" t="s">
        <v>10</v>
      </c>
      <c r="B12" s="9" t="s">
        <v>255</v>
      </c>
      <c r="C12" s="10"/>
      <c r="D12" s="10"/>
      <c r="E12" s="10"/>
      <c r="H12" s="21">
        <f>H10+H11</f>
        <v>32811.888271554228</v>
      </c>
      <c r="I12" s="10" t="s">
        <v>7</v>
      </c>
    </row>
    <row r="13" spans="1:17" ht="19.5" thickBot="1" x14ac:dyDescent="0.35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</row>
    <row r="14" spans="1:17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</row>
    <row r="15" spans="1:17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</row>
    <row r="16" spans="1:17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</row>
    <row r="17" spans="1:19" ht="19.5" thickBot="1" x14ac:dyDescent="0.35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</row>
    <row r="18" spans="1:19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</row>
    <row r="19" spans="1:19" ht="19.5" thickBot="1" x14ac:dyDescent="0.35">
      <c r="A19" s="1" t="s">
        <v>17</v>
      </c>
      <c r="B19" s="4" t="s">
        <v>18</v>
      </c>
      <c r="H19" s="33">
        <f>3%</f>
        <v>0.03</v>
      </c>
    </row>
    <row r="20" spans="1:19" ht="23.25" thickBot="1" x14ac:dyDescent="0.35">
      <c r="B20" s="4" t="s">
        <v>218</v>
      </c>
      <c r="H20" s="38">
        <v>2.65</v>
      </c>
      <c r="I20" s="4" t="s">
        <v>174</v>
      </c>
    </row>
    <row r="21" spans="1:19" ht="19.5" thickBot="1" x14ac:dyDescent="0.35">
      <c r="B21" s="4" t="s">
        <v>219</v>
      </c>
      <c r="H21" s="33">
        <f>0.01</f>
        <v>0.01</v>
      </c>
      <c r="M21" s="88"/>
      <c r="N21" s="88"/>
      <c r="O21" s="88"/>
      <c r="P21" s="88"/>
      <c r="Q21" s="88"/>
      <c r="R21" s="88"/>
      <c r="S21" s="88"/>
    </row>
    <row r="22" spans="1:19" ht="19.5" thickBot="1" x14ac:dyDescent="0.35">
      <c r="A22" s="1">
        <v>4</v>
      </c>
      <c r="B22" s="5" t="s">
        <v>19</v>
      </c>
      <c r="M22" s="57"/>
      <c r="N22" s="57"/>
      <c r="O22" s="57"/>
      <c r="P22" s="57"/>
      <c r="Q22" s="57"/>
      <c r="R22" s="57"/>
      <c r="S22" s="57"/>
    </row>
    <row r="23" spans="1:19" ht="19.5" thickBot="1" x14ac:dyDescent="0.35">
      <c r="A23" s="1" t="s">
        <v>6</v>
      </c>
      <c r="B23" s="5" t="s">
        <v>20</v>
      </c>
      <c r="H23" s="33">
        <f>0.04</f>
        <v>0.04</v>
      </c>
      <c r="R23" s="57"/>
      <c r="S23" s="57"/>
    </row>
    <row r="24" spans="1:19" ht="19.5" thickBot="1" x14ac:dyDescent="0.35">
      <c r="A24" s="1" t="s">
        <v>8</v>
      </c>
      <c r="B24" s="5" t="s">
        <v>21</v>
      </c>
      <c r="H24" s="33">
        <v>0.05</v>
      </c>
      <c r="R24" s="57"/>
      <c r="S24" s="57"/>
    </row>
    <row r="25" spans="1:19" ht="19.5" thickBot="1" x14ac:dyDescent="0.35">
      <c r="B25" s="5" t="s">
        <v>215</v>
      </c>
      <c r="H25" s="35">
        <f>0.85</f>
        <v>0.85</v>
      </c>
      <c r="R25" s="57"/>
      <c r="S25" s="57"/>
    </row>
    <row r="26" spans="1:19" ht="19.5" thickBot="1" x14ac:dyDescent="0.35">
      <c r="B26" s="5" t="s">
        <v>216</v>
      </c>
      <c r="H26" s="35">
        <f>0.06</f>
        <v>0.06</v>
      </c>
      <c r="R26" s="57"/>
      <c r="S26" s="57"/>
    </row>
    <row r="27" spans="1:19" ht="19.5" thickBot="1" x14ac:dyDescent="0.35">
      <c r="A27" s="1" t="s">
        <v>10</v>
      </c>
      <c r="B27" s="5" t="s">
        <v>22</v>
      </c>
      <c r="H27" s="35">
        <f>0.9</f>
        <v>0.9</v>
      </c>
      <c r="R27" s="57"/>
      <c r="S27" s="57"/>
    </row>
    <row r="28" spans="1:19" ht="19.5" thickBot="1" x14ac:dyDescent="0.35">
      <c r="A28" s="1" t="s">
        <v>15</v>
      </c>
      <c r="B28" s="5" t="s">
        <v>23</v>
      </c>
      <c r="H28" s="34">
        <v>0.05</v>
      </c>
      <c r="R28" s="57"/>
      <c r="S28" s="57"/>
    </row>
    <row r="29" spans="1:19" ht="19.5" thickBot="1" x14ac:dyDescent="0.35">
      <c r="A29" s="1" t="s">
        <v>17</v>
      </c>
      <c r="B29" s="5" t="s">
        <v>24</v>
      </c>
      <c r="H29" s="11">
        <v>1</v>
      </c>
      <c r="R29" s="57"/>
      <c r="S29" s="57"/>
    </row>
    <row r="30" spans="1:19" ht="19.5" thickBot="1" x14ac:dyDescent="0.35">
      <c r="A30" s="1" t="s">
        <v>25</v>
      </c>
      <c r="B30" s="5" t="s">
        <v>26</v>
      </c>
      <c r="H30" s="12">
        <f>0.65</f>
        <v>0.65</v>
      </c>
      <c r="R30" s="57"/>
      <c r="S30" s="57"/>
    </row>
    <row r="31" spans="1:19" ht="21" thickBot="1" x14ac:dyDescent="0.4">
      <c r="A31" s="1" t="s">
        <v>27</v>
      </c>
      <c r="B31" s="5" t="s">
        <v>28</v>
      </c>
      <c r="H31" s="11">
        <f>0.68</f>
        <v>0.68</v>
      </c>
      <c r="R31" s="57"/>
      <c r="S31" s="57"/>
    </row>
    <row r="32" spans="1:19" ht="19.5" thickBot="1" x14ac:dyDescent="0.35">
      <c r="A32" s="1">
        <v>5</v>
      </c>
      <c r="B32" s="5" t="s">
        <v>29</v>
      </c>
      <c r="R32" s="57"/>
      <c r="S32" s="57"/>
    </row>
    <row r="33" spans="1:19" ht="24" thickBot="1" x14ac:dyDescent="0.4">
      <c r="A33" s="1" t="s">
        <v>6</v>
      </c>
      <c r="B33" s="4" t="s">
        <v>12</v>
      </c>
      <c r="H33" s="32">
        <v>10</v>
      </c>
      <c r="I33" s="4" t="s">
        <v>9</v>
      </c>
      <c r="R33" s="57"/>
      <c r="S33" s="57"/>
    </row>
    <row r="34" spans="1:19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  <c r="R34" s="57"/>
      <c r="S34" s="57"/>
    </row>
    <row r="35" spans="1:19" ht="19.5" thickBot="1" x14ac:dyDescent="0.35">
      <c r="B35" s="5" t="s">
        <v>257</v>
      </c>
      <c r="R35" s="88"/>
      <c r="S35" s="88"/>
    </row>
    <row r="36" spans="1:19" ht="24" thickBot="1" x14ac:dyDescent="0.4">
      <c r="A36" s="1" t="s">
        <v>10</v>
      </c>
      <c r="B36" s="4" t="s">
        <v>12</v>
      </c>
      <c r="H36" s="32">
        <v>20</v>
      </c>
      <c r="I36" s="4" t="s">
        <v>9</v>
      </c>
      <c r="R36" s="88"/>
      <c r="S36" s="88"/>
    </row>
    <row r="37" spans="1:19" ht="21" thickBot="1" x14ac:dyDescent="0.4">
      <c r="A37" s="1" t="s">
        <v>15</v>
      </c>
      <c r="B37" s="4" t="s">
        <v>13</v>
      </c>
      <c r="H37" s="32">
        <v>30</v>
      </c>
      <c r="I37" s="4" t="str">
        <f>I36</f>
        <v>g/m3</v>
      </c>
      <c r="R37" s="88"/>
      <c r="S37" s="88"/>
    </row>
    <row r="38" spans="1:19" x14ac:dyDescent="0.3">
      <c r="A38" s="1">
        <v>6</v>
      </c>
      <c r="B38" s="5" t="s">
        <v>30</v>
      </c>
      <c r="R38" s="88"/>
      <c r="S38" s="88"/>
    </row>
    <row r="39" spans="1:19" ht="19.5" thickBot="1" x14ac:dyDescent="0.35">
      <c r="B39" s="5" t="s">
        <v>31</v>
      </c>
      <c r="R39" s="88"/>
      <c r="S39" s="88"/>
    </row>
    <row r="40" spans="1:19" ht="19.5" thickBot="1" x14ac:dyDescent="0.35">
      <c r="A40" s="1" t="s">
        <v>6</v>
      </c>
      <c r="B40" s="5" t="s">
        <v>32</v>
      </c>
      <c r="H40" s="33">
        <f>0.33</f>
        <v>0.33</v>
      </c>
      <c r="R40" s="88"/>
      <c r="S40" s="88"/>
    </row>
    <row r="41" spans="1:19" ht="19.5" thickBot="1" x14ac:dyDescent="0.35">
      <c r="A41" s="1" t="s">
        <v>8</v>
      </c>
      <c r="B41" s="5" t="s">
        <v>33</v>
      </c>
      <c r="H41" s="33">
        <f>0.5</f>
        <v>0.5</v>
      </c>
      <c r="R41" s="88"/>
      <c r="S41" s="88"/>
    </row>
    <row r="42" spans="1:19" ht="21" thickBot="1" x14ac:dyDescent="0.4">
      <c r="A42" s="1" t="s">
        <v>10</v>
      </c>
      <c r="B42" s="5" t="s">
        <v>34</v>
      </c>
      <c r="H42" s="12">
        <f>0.85</f>
        <v>0.85</v>
      </c>
      <c r="R42" s="88"/>
      <c r="S42" s="88"/>
    </row>
    <row r="43" spans="1:19" x14ac:dyDescent="0.3">
      <c r="A43" s="1">
        <v>7</v>
      </c>
      <c r="B43" s="5" t="s">
        <v>35</v>
      </c>
      <c r="R43" s="88"/>
      <c r="S43" s="88"/>
    </row>
    <row r="44" spans="1:19" ht="19.5" thickBot="1" x14ac:dyDescent="0.35">
      <c r="B44" s="5" t="s">
        <v>36</v>
      </c>
    </row>
    <row r="45" spans="1:19" ht="21" thickBot="1" x14ac:dyDescent="0.4">
      <c r="A45" s="1" t="s">
        <v>6</v>
      </c>
      <c r="B45" s="5" t="s">
        <v>37</v>
      </c>
      <c r="H45" s="11">
        <f>0.8</f>
        <v>0.8</v>
      </c>
    </row>
    <row r="46" spans="1:19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19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19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'1st Iteration'!H54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0.9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31">
        <f>'5th Iteration'!H74</f>
        <v>879.45749949880519</v>
      </c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10599.457499498805</v>
      </c>
      <c r="I75" s="4" t="s">
        <v>63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31">
        <f>'5th Iteration'!H79</f>
        <v>1898.7846794229922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14858.784679422992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14210.784679422992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3491.6264577146057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7089.0597777841995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7105.3923397114959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7105.3923397114959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9955.3857352134055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6039.5834887547717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3896.3622464586333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177.63480849278739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0.54836693882224652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100.65972481257953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76.97508368020786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6039.5834887547717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1065.8088509567242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13846.153846153848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7331.5816079090018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564.3491077770683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31770.186967605678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3197.9782774033879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32811.888271554228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7089.0597777841995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216.05156396713545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2789.0204189065921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3486.27552363324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656.23776543108454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984.35664814662675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2203.3261309362078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2754.1576636702598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1769.8010155236329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252.82871650337611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1592.8209139712696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31.856418279425395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220.97229822395073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1592.8209139712696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50000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1230.4222996245264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176.98010155236329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800.91533180778038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502.68649885583528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111.0797909383253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0" ht="21" thickBot="1" x14ac:dyDescent="0.4">
      <c r="B193" s="4" t="s">
        <v>118</v>
      </c>
      <c r="H193" s="21">
        <f>H129+H174</f>
        <v>7632.4044027260416</v>
      </c>
      <c r="I193" s="4" t="s">
        <v>63</v>
      </c>
    </row>
    <row r="194" spans="1:20" ht="23.25" thickBot="1" x14ac:dyDescent="0.35">
      <c r="B194" s="4" t="s">
        <v>143</v>
      </c>
      <c r="H194" s="21">
        <f>(H129/(H125*H126*H68))+(H174/(H165*H167*H68))</f>
        <v>132.51614309200491</v>
      </c>
      <c r="I194" s="4" t="s">
        <v>7</v>
      </c>
    </row>
    <row r="195" spans="1:20" ht="21" thickBot="1" x14ac:dyDescent="0.4">
      <c r="A195" s="1" t="s">
        <v>91</v>
      </c>
      <c r="B195" s="4" t="s">
        <v>144</v>
      </c>
    </row>
    <row r="196" spans="1:20" ht="21" thickBot="1" x14ac:dyDescent="0.4">
      <c r="B196" s="4" t="s">
        <v>145</v>
      </c>
      <c r="H196" s="21">
        <f>(H129*H122)+(H174*H140)</f>
        <v>4586.1646406668533</v>
      </c>
      <c r="I196" s="4" t="s">
        <v>63</v>
      </c>
    </row>
    <row r="197" spans="1:20" ht="21" thickBot="1" x14ac:dyDescent="0.4">
      <c r="B197" s="4" t="s">
        <v>314</v>
      </c>
      <c r="H197" s="22">
        <f>H196/H193</f>
        <v>0.60088071840491408</v>
      </c>
    </row>
    <row r="198" spans="1:20" ht="19.5" thickBot="1" x14ac:dyDescent="0.35">
      <c r="A198" s="1" t="s">
        <v>122</v>
      </c>
      <c r="B198" s="4" t="s">
        <v>147</v>
      </c>
    </row>
    <row r="199" spans="1:20" ht="21" thickBot="1" x14ac:dyDescent="0.4">
      <c r="B199" s="4" t="s">
        <v>145</v>
      </c>
      <c r="H199" s="21">
        <f>H196*(H188)</f>
        <v>2751.6987844001119</v>
      </c>
      <c r="I199" s="4" t="s">
        <v>63</v>
      </c>
    </row>
    <row r="200" spans="1:20" ht="19.5" thickBot="1" x14ac:dyDescent="0.35">
      <c r="A200" s="1" t="s">
        <v>95</v>
      </c>
      <c r="B200" s="4" t="s">
        <v>148</v>
      </c>
    </row>
    <row r="201" spans="1:20" ht="19.5" thickBot="1" x14ac:dyDescent="0.35">
      <c r="B201" s="4" t="s">
        <v>149</v>
      </c>
      <c r="H201" s="21">
        <f>(H129/H125)</f>
        <v>100659.72481257953</v>
      </c>
      <c r="I201" s="4" t="s">
        <v>63</v>
      </c>
      <c r="K201" s="4" t="s">
        <v>150</v>
      </c>
    </row>
    <row r="202" spans="1:20" ht="19.5" thickBot="1" x14ac:dyDescent="0.35">
      <c r="B202" s="4" t="s">
        <v>151</v>
      </c>
      <c r="H202" s="21">
        <f>H174/H165</f>
        <v>31856.41827942539</v>
      </c>
      <c r="I202" s="4" t="s">
        <v>63</v>
      </c>
      <c r="K202" s="4" t="s">
        <v>152</v>
      </c>
    </row>
    <row r="204" spans="1:20" ht="19.5" thickBot="1" x14ac:dyDescent="0.35">
      <c r="B204" s="4" t="s">
        <v>153</v>
      </c>
    </row>
    <row r="205" spans="1:20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</row>
    <row r="206" spans="1:20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</row>
    <row r="207" spans="1:20" ht="21" thickBot="1" x14ac:dyDescent="0.4">
      <c r="B207" s="4" t="s">
        <v>157</v>
      </c>
      <c r="H207" s="21">
        <f>H178+H135</f>
        <v>4428.4005770279146</v>
      </c>
      <c r="I207" s="4" t="s">
        <v>63</v>
      </c>
      <c r="J207" s="4" t="s">
        <v>158</v>
      </c>
      <c r="Q207" s="24"/>
      <c r="R207" s="24"/>
      <c r="S207" s="24"/>
      <c r="T207" s="24"/>
    </row>
    <row r="208" spans="1:20" ht="21" thickBot="1" x14ac:dyDescent="0.4">
      <c r="B208" s="4" t="s">
        <v>85</v>
      </c>
      <c r="H208" s="21">
        <f>H207*(1-H188)</f>
        <v>1771.3602308111658</v>
      </c>
      <c r="I208" s="4" t="s">
        <v>63</v>
      </c>
      <c r="J208" s="4" t="s">
        <v>159</v>
      </c>
      <c r="Q208" s="24"/>
      <c r="R208" s="24"/>
      <c r="S208" s="24"/>
      <c r="T208" s="24"/>
    </row>
    <row r="209" spans="1:20" ht="23.25" thickBot="1" x14ac:dyDescent="0.35">
      <c r="B209" s="4" t="s">
        <v>160</v>
      </c>
      <c r="H209" s="31">
        <f>$H$194</f>
        <v>132.51614309200491</v>
      </c>
      <c r="I209" s="4" t="s">
        <v>7</v>
      </c>
      <c r="J209" s="4" t="s">
        <v>161</v>
      </c>
      <c r="Q209" s="24"/>
      <c r="R209" s="24"/>
      <c r="S209" s="24"/>
      <c r="T209" s="24"/>
    </row>
    <row r="210" spans="1:20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</row>
    <row r="211" spans="1:20" ht="21" thickBot="1" x14ac:dyDescent="0.4">
      <c r="B211" s="4" t="s">
        <v>163</v>
      </c>
      <c r="H211" s="21">
        <f>H205*((H207-H208)/(1+(H206*H210)))</f>
        <v>132.85201731083743</v>
      </c>
      <c r="I211" s="4" t="s">
        <v>63</v>
      </c>
      <c r="J211" s="4" t="s">
        <v>164</v>
      </c>
      <c r="Q211" s="24"/>
      <c r="R211" s="24"/>
      <c r="S211" s="24"/>
      <c r="T211" s="24"/>
    </row>
    <row r="212" spans="1:20" ht="24" thickBot="1" x14ac:dyDescent="0.4">
      <c r="B212" s="4" t="s">
        <v>165</v>
      </c>
      <c r="H212" s="21">
        <f>((H207-H208)-(1.42*H211))*0.35</f>
        <v>863.93666857237588</v>
      </c>
      <c r="I212" s="4" t="s">
        <v>7</v>
      </c>
      <c r="Q212" s="24"/>
      <c r="R212" s="24"/>
      <c r="S212" s="24"/>
      <c r="T212" s="24"/>
    </row>
    <row r="213" spans="1:20" ht="24" thickBot="1" x14ac:dyDescent="0.4">
      <c r="B213" s="4" t="s">
        <v>166</v>
      </c>
      <c r="H213" s="21">
        <f>H212/0.65</f>
        <v>1329.1333362651935</v>
      </c>
      <c r="I213" s="4" t="s">
        <v>7</v>
      </c>
      <c r="J213" s="4" t="s">
        <v>167</v>
      </c>
      <c r="Q213" s="24"/>
      <c r="R213" s="24"/>
      <c r="S213" s="24"/>
      <c r="T213" s="24"/>
    </row>
    <row r="214" spans="1:20" ht="23.25" thickBot="1" x14ac:dyDescent="0.35">
      <c r="B214" s="4" t="s">
        <v>168</v>
      </c>
      <c r="H214" s="21">
        <f>H213*1.12</f>
        <v>1488.6293366170169</v>
      </c>
      <c r="I214" s="4" t="s">
        <v>63</v>
      </c>
      <c r="J214" s="4" t="s">
        <v>245</v>
      </c>
      <c r="Q214" s="24"/>
      <c r="R214" s="24"/>
      <c r="S214" s="24"/>
      <c r="T214" s="24"/>
    </row>
    <row r="216" spans="1:20" x14ac:dyDescent="0.3">
      <c r="A216" s="1" t="s">
        <v>169</v>
      </c>
      <c r="B216" s="4" t="s">
        <v>170</v>
      </c>
    </row>
    <row r="217" spans="1:20" ht="21" thickBot="1" x14ac:dyDescent="0.4">
      <c r="B217" s="4" t="s">
        <v>171</v>
      </c>
    </row>
    <row r="218" spans="1:20" ht="19.5" thickBot="1" x14ac:dyDescent="0.35">
      <c r="B218" s="4" t="s">
        <v>172</v>
      </c>
      <c r="H218" s="21">
        <f>H193-H196</f>
        <v>3046.2397620591883</v>
      </c>
      <c r="I218" s="4" t="s">
        <v>63</v>
      </c>
    </row>
    <row r="219" spans="1:20" ht="21" thickBot="1" x14ac:dyDescent="0.4">
      <c r="B219" s="4" t="s">
        <v>173</v>
      </c>
      <c r="H219" s="21">
        <f>H218+(H196-H199)</f>
        <v>4880.7056183259301</v>
      </c>
      <c r="I219" s="4" t="s">
        <v>63</v>
      </c>
    </row>
    <row r="221" spans="1:20" ht="19.5" thickBot="1" x14ac:dyDescent="0.35">
      <c r="B221" s="4" t="s">
        <v>175</v>
      </c>
    </row>
    <row r="222" spans="1:20" ht="19.5" thickBot="1" x14ac:dyDescent="0.35">
      <c r="B222" s="4" t="s">
        <v>176</v>
      </c>
      <c r="H222" s="21">
        <f>H201+H202</f>
        <v>132516.14309200493</v>
      </c>
      <c r="I222" s="4" t="s">
        <v>63</v>
      </c>
    </row>
    <row r="223" spans="1:20" ht="19.5" thickBot="1" x14ac:dyDescent="0.35">
      <c r="B223" s="4" t="s">
        <v>177</v>
      </c>
      <c r="H223" s="21">
        <f>H214</f>
        <v>1488.6293366170169</v>
      </c>
      <c r="I223" s="4" t="s">
        <v>63</v>
      </c>
    </row>
    <row r="224" spans="1:20" ht="19.5" thickBot="1" x14ac:dyDescent="0.35">
      <c r="B224" s="4" t="s">
        <v>178</v>
      </c>
      <c r="H224" s="21">
        <f>H222-H223</f>
        <v>131027.51375538792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185.63000771594062</v>
      </c>
      <c r="I234" s="4" t="s">
        <v>63</v>
      </c>
    </row>
    <row r="235" spans="1:9" ht="21" thickBot="1" x14ac:dyDescent="0.4">
      <c r="B235" s="4" t="s">
        <v>188</v>
      </c>
      <c r="H235" s="21">
        <f>H234</f>
        <v>185.63000771594062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4695.0756106099898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37.126001543188124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93.90151221219979</v>
      </c>
      <c r="I239" s="4" t="s">
        <v>7</v>
      </c>
    </row>
    <row r="241" spans="1:11" ht="19.5" thickBot="1" x14ac:dyDescent="0.35">
      <c r="A241" s="1" t="s">
        <v>192</v>
      </c>
      <c r="B241" s="4" t="s">
        <v>193</v>
      </c>
    </row>
    <row r="242" spans="1:11" ht="23.25" thickBot="1" x14ac:dyDescent="0.35">
      <c r="B242" s="4" t="s">
        <v>106</v>
      </c>
      <c r="H242" s="21">
        <f>H238</f>
        <v>37.126001543188124</v>
      </c>
      <c r="I242" s="4" t="s">
        <v>7</v>
      </c>
    </row>
    <row r="243" spans="1:11" ht="21" thickBot="1" x14ac:dyDescent="0.4">
      <c r="B243" s="4" t="s">
        <v>194</v>
      </c>
      <c r="H243" s="21">
        <f>(H242*H189)/(10^3)</f>
        <v>37.126001543188124</v>
      </c>
      <c r="I243" s="4" t="s">
        <v>63</v>
      </c>
    </row>
    <row r="244" spans="1:11" ht="21" thickBot="1" x14ac:dyDescent="0.4">
      <c r="B244" s="4" t="s">
        <v>188</v>
      </c>
      <c r="H244" s="21">
        <f>H235</f>
        <v>185.63000771594062</v>
      </c>
      <c r="I244" s="4" t="s">
        <v>63</v>
      </c>
    </row>
    <row r="246" spans="1:11" x14ac:dyDescent="0.3">
      <c r="A246" s="1" t="s">
        <v>25</v>
      </c>
      <c r="B246" s="4" t="s">
        <v>195</v>
      </c>
    </row>
    <row r="247" spans="1:11" ht="19.5" thickBot="1" x14ac:dyDescent="0.35">
      <c r="A247" s="1" t="s">
        <v>87</v>
      </c>
      <c r="B247" s="4" t="s">
        <v>196</v>
      </c>
    </row>
    <row r="248" spans="1:11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11" ht="19.5" thickBot="1" x14ac:dyDescent="0.35">
      <c r="B249" s="5" t="s">
        <v>55</v>
      </c>
      <c r="H249" s="44">
        <f>$H$62</f>
        <v>1.123</v>
      </c>
    </row>
    <row r="250" spans="1:11" ht="19.5" thickBot="1" x14ac:dyDescent="0.35">
      <c r="B250" s="5" t="s">
        <v>56</v>
      </c>
      <c r="H250" s="16">
        <f>$H$63</f>
        <v>0.9</v>
      </c>
    </row>
    <row r="251" spans="1:11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11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11" ht="19.5" thickBot="1" x14ac:dyDescent="0.35">
      <c r="A254" s="1" t="s">
        <v>115</v>
      </c>
      <c r="B254" s="4" t="s">
        <v>198</v>
      </c>
    </row>
    <row r="255" spans="1:11" ht="21" thickBot="1" x14ac:dyDescent="0.4">
      <c r="B255" s="4" t="s">
        <v>203</v>
      </c>
      <c r="H255" s="21">
        <f>H236*H250</f>
        <v>4225.5680495489905</v>
      </c>
      <c r="I255" s="4" t="s">
        <v>63</v>
      </c>
      <c r="K255" s="4">
        <f>H255/H248</f>
        <v>19207.127497949958</v>
      </c>
    </row>
    <row r="256" spans="1:11" ht="23.25" thickBot="1" x14ac:dyDescent="0.35">
      <c r="B256" s="4" t="s">
        <v>223</v>
      </c>
      <c r="H256" s="21">
        <f>H255/(H249*H248*1000)</f>
        <v>17.103408279563631</v>
      </c>
      <c r="I256" s="4" t="s">
        <v>7</v>
      </c>
    </row>
    <row r="257" spans="1:9" ht="24" thickBot="1" x14ac:dyDescent="0.4">
      <c r="B257" s="4" t="s">
        <v>135</v>
      </c>
      <c r="H257" s="21">
        <f>(H255/H256)*(10^3)*H95*H96*H97</f>
        <v>155064.7384</v>
      </c>
      <c r="I257" s="4" t="s">
        <v>9</v>
      </c>
    </row>
    <row r="258" spans="1:9" ht="21" thickBot="1" x14ac:dyDescent="0.4">
      <c r="B258" s="4" t="s">
        <v>274</v>
      </c>
      <c r="H258" s="50">
        <f>(H257*H256)/(10^3)</f>
        <v>2652.1355306189284</v>
      </c>
      <c r="I258" s="4" t="s">
        <v>63</v>
      </c>
    </row>
    <row r="260" spans="1:9" ht="19.5" thickBot="1" x14ac:dyDescent="0.35">
      <c r="A260" s="1" t="s">
        <v>91</v>
      </c>
      <c r="B260" s="4" t="s">
        <v>200</v>
      </c>
    </row>
    <row r="261" spans="1:9" ht="23.25" thickBot="1" x14ac:dyDescent="0.35">
      <c r="B261" s="4" t="s">
        <v>201</v>
      </c>
      <c r="H261" s="21">
        <f>H239-H256</f>
        <v>76.798103932636167</v>
      </c>
      <c r="I261" s="4" t="s">
        <v>7</v>
      </c>
    </row>
    <row r="262" spans="1:9" ht="21" thickBot="1" x14ac:dyDescent="0.4">
      <c r="B262" s="4" t="s">
        <v>202</v>
      </c>
      <c r="H262" s="21">
        <f>(H261*H251)/(10^3)</f>
        <v>153.59620786527233</v>
      </c>
      <c r="I262" s="4" t="s">
        <v>63</v>
      </c>
    </row>
    <row r="263" spans="1:9" ht="21" thickBot="1" x14ac:dyDescent="0.4">
      <c r="B263" s="4" t="s">
        <v>203</v>
      </c>
      <c r="H263" s="21">
        <f>H236-H255</f>
        <v>469.50756106099925</v>
      </c>
      <c r="I263" s="4" t="s">
        <v>63</v>
      </c>
    </row>
    <row r="265" spans="1:9" x14ac:dyDescent="0.3">
      <c r="A265" s="1" t="s">
        <v>27</v>
      </c>
      <c r="B265" s="4" t="s">
        <v>204</v>
      </c>
    </row>
    <row r="267" spans="1:9" x14ac:dyDescent="0.3">
      <c r="F267" s="4" t="s">
        <v>214</v>
      </c>
    </row>
    <row r="268" spans="1:9" ht="23.25" x14ac:dyDescent="0.35">
      <c r="B268" s="28" t="s">
        <v>205</v>
      </c>
      <c r="C268" s="28" t="s">
        <v>206</v>
      </c>
      <c r="D268" s="28" t="s">
        <v>207</v>
      </c>
      <c r="E268" s="28" t="s">
        <v>208</v>
      </c>
      <c r="F268" s="28" t="s">
        <v>206</v>
      </c>
      <c r="G268" s="28" t="s">
        <v>207</v>
      </c>
      <c r="H268" s="28" t="s">
        <v>208</v>
      </c>
    </row>
    <row r="269" spans="1:9" x14ac:dyDescent="0.3">
      <c r="B269" s="28" t="s">
        <v>247</v>
      </c>
      <c r="C269" s="29">
        <f>H128</f>
        <v>76.97508368020786</v>
      </c>
      <c r="D269" s="29">
        <f>H133</f>
        <v>564.3491077770683</v>
      </c>
      <c r="E269" s="45">
        <f>H130</f>
        <v>1065.8088509567242</v>
      </c>
      <c r="F269" s="29">
        <f>C269-'5th Iteration'!C269</f>
        <v>0</v>
      </c>
      <c r="G269" s="29">
        <f>D269-'5th Iteration'!D269</f>
        <v>0</v>
      </c>
      <c r="H269" s="29">
        <f>E269-'5th Iteration'!E269</f>
        <v>0</v>
      </c>
    </row>
    <row r="270" spans="1:9" x14ac:dyDescent="0.3">
      <c r="B270" s="28" t="s">
        <v>209</v>
      </c>
      <c r="C270" s="29">
        <f>H172</f>
        <v>220.97229822395073</v>
      </c>
      <c r="D270" s="29">
        <f>H184</f>
        <v>111.0797909383253</v>
      </c>
      <c r="E270" s="45">
        <f>H180</f>
        <v>176.98010155236329</v>
      </c>
      <c r="F270" s="29">
        <f>C270-'5th Iteration'!C270</f>
        <v>-1.4853236464716701E-2</v>
      </c>
      <c r="G270" s="29">
        <f>D270-'5th Iteration'!D270</f>
        <v>-7.4665214351199438E-3</v>
      </c>
      <c r="H270" s="29">
        <f>E270-'4th Iteration'!E270</f>
        <v>0.21739791705431344</v>
      </c>
    </row>
    <row r="271" spans="1:9" x14ac:dyDescent="0.3">
      <c r="B271" s="28" t="s">
        <v>210</v>
      </c>
      <c r="C271" s="29">
        <f>H238</f>
        <v>37.126001543188124</v>
      </c>
      <c r="D271" s="29">
        <f>H243</f>
        <v>37.126001543188124</v>
      </c>
      <c r="E271" s="45">
        <f>H244</f>
        <v>185.63000771594062</v>
      </c>
      <c r="F271" s="29">
        <f>C271-'5th Iteration'!C271</f>
        <v>-1.1111425531566965E-3</v>
      </c>
      <c r="G271" s="29">
        <f>D271-'5th Iteration'!D271</f>
        <v>-1.1111425531566965E-3</v>
      </c>
      <c r="H271" s="29">
        <f>E271-'5th Iteration'!E271</f>
        <v>-5.5557127657834826E-3</v>
      </c>
    </row>
    <row r="272" spans="1:9" x14ac:dyDescent="0.3">
      <c r="B272" s="28" t="s">
        <v>211</v>
      </c>
      <c r="C272" s="29">
        <f>H261</f>
        <v>76.798103932636167</v>
      </c>
      <c r="D272" s="29">
        <f>H262</f>
        <v>153.59620786527233</v>
      </c>
      <c r="E272" s="45">
        <f>H263</f>
        <v>469.50756106099925</v>
      </c>
      <c r="F272" s="29">
        <f>C272-'5th Iteration'!C272</f>
        <v>-8.197952238617745E-4</v>
      </c>
      <c r="G272" s="29">
        <f>D272-'5th Iteration'!D272</f>
        <v>-1.639590447723549E-3</v>
      </c>
      <c r="H272" s="29">
        <f>E272-'5th Iteration'!E272</f>
        <v>-5.0118432145609404E-3</v>
      </c>
    </row>
    <row r="273" spans="2:8" x14ac:dyDescent="0.3">
      <c r="B273" s="28" t="s">
        <v>212</v>
      </c>
      <c r="C273" s="29">
        <f>SUM(C269:C272)</f>
        <v>411.87148737998291</v>
      </c>
      <c r="D273" s="29">
        <f t="shared" ref="D273:E273" si="0">SUM(D269:D272)</f>
        <v>866.1511081238541</v>
      </c>
      <c r="E273" s="45">
        <f t="shared" si="0"/>
        <v>1897.9265212860273</v>
      </c>
      <c r="F273" s="29">
        <f>SUM(F269:F272)</f>
        <v>-1.6784174241735172E-2</v>
      </c>
      <c r="G273" s="29">
        <f t="shared" ref="G273:H273" si="1">SUM(G269:G272)</f>
        <v>-1.0217254436000189E-2</v>
      </c>
      <c r="H273" s="29">
        <f t="shared" si="1"/>
        <v>0.20683036107396902</v>
      </c>
    </row>
    <row r="274" spans="2:8" x14ac:dyDescent="0.3">
      <c r="F274" s="47">
        <f>F273/C273</f>
        <v>-4.0750998202141849E-5</v>
      </c>
      <c r="G274" s="47">
        <f t="shared" ref="G274:H274" si="2">G273/D273</f>
        <v>-1.179615697557843E-5</v>
      </c>
      <c r="H274" s="47">
        <f t="shared" si="2"/>
        <v>1.0897701188864867E-4</v>
      </c>
    </row>
    <row r="278" spans="2:8" ht="23.25" x14ac:dyDescent="0.35">
      <c r="B278" s="28" t="s">
        <v>205</v>
      </c>
      <c r="C278" s="28" t="s">
        <v>206</v>
      </c>
      <c r="D278" s="28" t="s">
        <v>315</v>
      </c>
      <c r="E278" s="28" t="s">
        <v>316</v>
      </c>
    </row>
    <row r="279" spans="2:8" x14ac:dyDescent="0.3">
      <c r="B279" s="48" t="s">
        <v>258</v>
      </c>
      <c r="C279" s="85">
        <f>H10</f>
        <v>32400</v>
      </c>
      <c r="D279" s="85">
        <f>H73</f>
        <v>9720</v>
      </c>
      <c r="E279" s="85">
        <f>H78</f>
        <v>12960</v>
      </c>
    </row>
    <row r="280" spans="2:8" x14ac:dyDescent="0.3">
      <c r="B280" s="48" t="s">
        <v>259</v>
      </c>
      <c r="C280" s="85">
        <f>H84</f>
        <v>24.452830188679243</v>
      </c>
      <c r="D280" s="85">
        <f>H86</f>
        <v>18.771263999999999</v>
      </c>
      <c r="E280" s="85">
        <f>H82</f>
        <v>648</v>
      </c>
    </row>
    <row r="281" spans="2:8" ht="37.5" x14ac:dyDescent="0.3">
      <c r="B281" s="48" t="s">
        <v>261</v>
      </c>
      <c r="C281" s="85">
        <f>H12</f>
        <v>32811.888271554228</v>
      </c>
      <c r="D281" s="85">
        <f>H75-H86</f>
        <v>10580.686235498804</v>
      </c>
      <c r="E281" s="85">
        <f>H80-H82</f>
        <v>14210.784679422992</v>
      </c>
    </row>
    <row r="282" spans="2:8" x14ac:dyDescent="0.3">
      <c r="B282" s="48" t="s">
        <v>262</v>
      </c>
      <c r="C282" s="85">
        <f>H121</f>
        <v>177.63480849278739</v>
      </c>
      <c r="D282" s="85">
        <f>H107</f>
        <v>3491.6264577146057</v>
      </c>
      <c r="E282" s="85">
        <f>H109</f>
        <v>7105.3923397114959</v>
      </c>
    </row>
    <row r="283" spans="2:8" x14ac:dyDescent="0.3">
      <c r="B283" s="48" t="s">
        <v>263</v>
      </c>
      <c r="C283" s="85">
        <f>H127</f>
        <v>100.65972481257953</v>
      </c>
      <c r="D283" s="85">
        <f>H135</f>
        <v>3197.9782774033879</v>
      </c>
      <c r="E283" s="85">
        <f>H129</f>
        <v>6039.5834887547717</v>
      </c>
    </row>
    <row r="284" spans="2:8" x14ac:dyDescent="0.3">
      <c r="B284" s="48" t="s">
        <v>211</v>
      </c>
      <c r="C284" s="85">
        <f>H128</f>
        <v>76.97508368020786</v>
      </c>
      <c r="D284" s="85">
        <f>H133</f>
        <v>564.3491077770683</v>
      </c>
      <c r="E284" s="85">
        <f>H130</f>
        <v>1065.8088509567242</v>
      </c>
      <c r="G284" s="84"/>
    </row>
    <row r="285" spans="2:8" x14ac:dyDescent="0.3">
      <c r="B285" s="48" t="s">
        <v>272</v>
      </c>
      <c r="C285" s="85">
        <f>C281-C282</f>
        <v>32634.253463061439</v>
      </c>
      <c r="D285" s="85">
        <f>D281-D282</f>
        <v>7089.0597777841986</v>
      </c>
      <c r="E285" s="85">
        <f>E281-E282</f>
        <v>7105.3923397114959</v>
      </c>
      <c r="G285" s="84"/>
      <c r="H285" s="49"/>
    </row>
    <row r="286" spans="2:8" x14ac:dyDescent="0.3">
      <c r="B286" s="48" t="s">
        <v>264</v>
      </c>
      <c r="C286" s="85">
        <f>C285-C288</f>
        <v>32381.424746558063</v>
      </c>
      <c r="D286" s="85">
        <f>H154</f>
        <v>656.23776543108454</v>
      </c>
      <c r="E286" s="85">
        <f>H155</f>
        <v>984.35664814662675</v>
      </c>
    </row>
    <row r="287" spans="2:8" x14ac:dyDescent="0.3">
      <c r="B287" s="48" t="s">
        <v>267</v>
      </c>
      <c r="C287" s="85">
        <f>C286</f>
        <v>32381.424746558063</v>
      </c>
      <c r="D287" s="85">
        <f>(C287*H34)/10^3</f>
        <v>323.81424746558065</v>
      </c>
      <c r="E287" s="85">
        <f>(C287*H33)/10^3</f>
        <v>323.81424746558065</v>
      </c>
      <c r="G287" s="84"/>
    </row>
    <row r="288" spans="2:8" x14ac:dyDescent="0.3">
      <c r="B288" s="48" t="s">
        <v>265</v>
      </c>
      <c r="C288" s="85">
        <f>H162</f>
        <v>252.82871650337611</v>
      </c>
      <c r="D288" s="85">
        <f>D289+D290</f>
        <v>1341.5020905628517</v>
      </c>
      <c r="E288" s="85">
        <f>H161</f>
        <v>1769.8010155236329</v>
      </c>
    </row>
    <row r="289" spans="2:19" ht="37.5" x14ac:dyDescent="0.3">
      <c r="B289" s="48" t="s">
        <v>266</v>
      </c>
      <c r="C289" s="85">
        <f>H170</f>
        <v>31.856418279425395</v>
      </c>
      <c r="D289" s="85">
        <f>H178</f>
        <v>1230.4222996245264</v>
      </c>
      <c r="E289" s="85">
        <f>H169</f>
        <v>1592.8209139712696</v>
      </c>
    </row>
    <row r="290" spans="2:19" x14ac:dyDescent="0.3">
      <c r="B290" s="48" t="s">
        <v>211</v>
      </c>
      <c r="C290" s="85">
        <f>H172</f>
        <v>220.97229822395073</v>
      </c>
      <c r="D290" s="85">
        <f>H184</f>
        <v>111.0797909383253</v>
      </c>
      <c r="E290" s="85">
        <f>H180</f>
        <v>176.98010155236329</v>
      </c>
    </row>
    <row r="291" spans="2:19" x14ac:dyDescent="0.3">
      <c r="B291" s="48" t="s">
        <v>268</v>
      </c>
      <c r="C291" s="85">
        <f>C283+C289</f>
        <v>132.51614309200491</v>
      </c>
      <c r="D291" s="85">
        <f>D283+D289</f>
        <v>4428.4005770279146</v>
      </c>
      <c r="E291" s="85">
        <f>E283+E289</f>
        <v>7632.4044027260416</v>
      </c>
      <c r="G291" s="84"/>
    </row>
    <row r="292" spans="2:19" x14ac:dyDescent="0.3">
      <c r="B292" s="48" t="s">
        <v>273</v>
      </c>
      <c r="C292" s="85">
        <f>H223</f>
        <v>1488.6293366170169</v>
      </c>
      <c r="D292" s="89" t="s">
        <v>63</v>
      </c>
      <c r="E292" s="90"/>
    </row>
    <row r="293" spans="2:19" x14ac:dyDescent="0.3">
      <c r="B293" s="48" t="s">
        <v>269</v>
      </c>
      <c r="C293" s="85">
        <f>H238</f>
        <v>37.126001543188124</v>
      </c>
      <c r="D293" s="85">
        <f>H243</f>
        <v>37.126001543188124</v>
      </c>
      <c r="E293" s="85">
        <f>H244</f>
        <v>185.63000771594062</v>
      </c>
    </row>
    <row r="294" spans="2:19" x14ac:dyDescent="0.3">
      <c r="B294" s="48" t="s">
        <v>270</v>
      </c>
      <c r="C294" s="85">
        <f>H239</f>
        <v>93.90151221219979</v>
      </c>
      <c r="D294" s="85">
        <f>D295+D296</f>
        <v>2805.7317384842008</v>
      </c>
      <c r="E294" s="85">
        <f>E295+E296</f>
        <v>4695.0756106099898</v>
      </c>
    </row>
    <row r="295" spans="2:19" x14ac:dyDescent="0.3">
      <c r="B295" s="48" t="s">
        <v>271</v>
      </c>
      <c r="C295" s="85">
        <f>H256</f>
        <v>17.103408279563631</v>
      </c>
      <c r="D295" s="85">
        <f>H258</f>
        <v>2652.1355306189284</v>
      </c>
      <c r="E295" s="85">
        <f>H255</f>
        <v>4225.5680495489905</v>
      </c>
    </row>
    <row r="296" spans="2:19" x14ac:dyDescent="0.3">
      <c r="B296" s="48" t="s">
        <v>211</v>
      </c>
      <c r="C296" s="85">
        <f>H261</f>
        <v>76.798103932636167</v>
      </c>
      <c r="D296" s="85">
        <f>H262</f>
        <v>153.59620786527233</v>
      </c>
      <c r="E296" s="85">
        <f>H263</f>
        <v>469.50756106099925</v>
      </c>
    </row>
    <row r="297" spans="2:19" x14ac:dyDescent="0.3">
      <c r="B297" s="48" t="s">
        <v>260</v>
      </c>
      <c r="C297" s="85">
        <f>C273</f>
        <v>411.87148737998291</v>
      </c>
      <c r="D297" s="85">
        <f>D273</f>
        <v>866.1511081238541</v>
      </c>
      <c r="E297" s="85">
        <f>E273</f>
        <v>1897.9265212860273</v>
      </c>
    </row>
    <row r="298" spans="2:19" ht="19.5" thickBot="1" x14ac:dyDescent="0.35">
      <c r="B298" s="86"/>
      <c r="C298" s="87"/>
      <c r="D298" s="87"/>
      <c r="E298" s="87"/>
    </row>
    <row r="299" spans="2:19" x14ac:dyDescent="0.3">
      <c r="D299" s="52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72"/>
    </row>
    <row r="300" spans="2:19" x14ac:dyDescent="0.3">
      <c r="D300" s="54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3"/>
    </row>
    <row r="301" spans="2:19" x14ac:dyDescent="0.3">
      <c r="D301" s="54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3"/>
    </row>
    <row r="302" spans="2:19" x14ac:dyDescent="0.3">
      <c r="D302" s="54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3"/>
    </row>
    <row r="303" spans="2:19" x14ac:dyDescent="0.3">
      <c r="D303" s="54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3"/>
    </row>
    <row r="304" spans="2:19" x14ac:dyDescent="0.3">
      <c r="D304" s="54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3"/>
    </row>
    <row r="305" spans="4:19" x14ac:dyDescent="0.3">
      <c r="D305" s="54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3"/>
    </row>
    <row r="306" spans="4:19" x14ac:dyDescent="0.3">
      <c r="D306" s="54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3"/>
    </row>
    <row r="307" spans="4:19" x14ac:dyDescent="0.3">
      <c r="D307" s="54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3"/>
    </row>
    <row r="308" spans="4:19" x14ac:dyDescent="0.3">
      <c r="D308" s="54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3"/>
    </row>
    <row r="309" spans="4:19" x14ac:dyDescent="0.3">
      <c r="D309" s="54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3"/>
    </row>
    <row r="310" spans="4:19" x14ac:dyDescent="0.3">
      <c r="D310" s="54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3"/>
    </row>
    <row r="311" spans="4:19" x14ac:dyDescent="0.3">
      <c r="D311" s="54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3"/>
    </row>
    <row r="312" spans="4:19" x14ac:dyDescent="0.3">
      <c r="D312" s="54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3"/>
    </row>
    <row r="313" spans="4:19" x14ac:dyDescent="0.3">
      <c r="D313" s="54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3"/>
    </row>
    <row r="314" spans="4:19" x14ac:dyDescent="0.3">
      <c r="D314" s="54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3"/>
    </row>
    <row r="315" spans="4:19" x14ac:dyDescent="0.3">
      <c r="D315" s="54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3"/>
    </row>
    <row r="316" spans="4:19" x14ac:dyDescent="0.3">
      <c r="D316" s="54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3"/>
    </row>
    <row r="317" spans="4:19" x14ac:dyDescent="0.3">
      <c r="D317" s="54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3"/>
    </row>
    <row r="318" spans="4:19" x14ac:dyDescent="0.3">
      <c r="D318" s="54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3"/>
    </row>
    <row r="319" spans="4:19" x14ac:dyDescent="0.3">
      <c r="D319" s="54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3"/>
    </row>
    <row r="320" spans="4:19" x14ac:dyDescent="0.3">
      <c r="D320" s="54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3"/>
    </row>
    <row r="321" spans="4:19" x14ac:dyDescent="0.3">
      <c r="D321" s="54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3"/>
    </row>
    <row r="322" spans="4:19" x14ac:dyDescent="0.3">
      <c r="D322" s="54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3"/>
    </row>
    <row r="323" spans="4:19" x14ac:dyDescent="0.3">
      <c r="D323" s="54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3"/>
    </row>
    <row r="324" spans="4:19" x14ac:dyDescent="0.3">
      <c r="D324" s="54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3"/>
    </row>
    <row r="325" spans="4:19" x14ac:dyDescent="0.3">
      <c r="D325" s="54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3"/>
    </row>
    <row r="326" spans="4:19" x14ac:dyDescent="0.3">
      <c r="D326" s="54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3"/>
    </row>
    <row r="327" spans="4:19" x14ac:dyDescent="0.3">
      <c r="D327" s="54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3"/>
    </row>
    <row r="328" spans="4:19" x14ac:dyDescent="0.3">
      <c r="D328" s="54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3"/>
    </row>
    <row r="329" spans="4:19" x14ac:dyDescent="0.3">
      <c r="D329" s="54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3"/>
    </row>
    <row r="330" spans="4:19" x14ac:dyDescent="0.3">
      <c r="D330" s="54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3"/>
    </row>
    <row r="331" spans="4:19" x14ac:dyDescent="0.3">
      <c r="D331" s="54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3"/>
    </row>
    <row r="332" spans="4:19" x14ac:dyDescent="0.3">
      <c r="D332" s="54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3"/>
    </row>
    <row r="333" spans="4:19" x14ac:dyDescent="0.3">
      <c r="D333" s="54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3"/>
    </row>
    <row r="334" spans="4:19" x14ac:dyDescent="0.3">
      <c r="D334" s="54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3"/>
    </row>
    <row r="335" spans="4:19" x14ac:dyDescent="0.3">
      <c r="D335" s="54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3"/>
    </row>
    <row r="336" spans="4:19" x14ac:dyDescent="0.3">
      <c r="D336" s="54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3"/>
    </row>
    <row r="337" spans="4:19" x14ac:dyDescent="0.3">
      <c r="D337" s="54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3"/>
    </row>
    <row r="338" spans="4:19" x14ac:dyDescent="0.3">
      <c r="D338" s="54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3"/>
    </row>
    <row r="339" spans="4:19" x14ac:dyDescent="0.3">
      <c r="D339" s="54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3"/>
    </row>
    <row r="340" spans="4:19" x14ac:dyDescent="0.3">
      <c r="D340" s="54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3"/>
    </row>
    <row r="341" spans="4:19" x14ac:dyDescent="0.3">
      <c r="D341" s="54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3"/>
    </row>
    <row r="342" spans="4:19" x14ac:dyDescent="0.3">
      <c r="D342" s="54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3"/>
    </row>
    <row r="343" spans="4:19" x14ac:dyDescent="0.3">
      <c r="D343" s="54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3"/>
    </row>
    <row r="344" spans="4:19" x14ac:dyDescent="0.3">
      <c r="D344" s="54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3"/>
    </row>
    <row r="345" spans="4:19" ht="19.5" thickBot="1" x14ac:dyDescent="0.35">
      <c r="D345" s="55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74"/>
    </row>
    <row r="347" spans="4:19" ht="19.5" thickBot="1" x14ac:dyDescent="0.35"/>
    <row r="348" spans="4:19" x14ac:dyDescent="0.3">
      <c r="D348" s="75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7"/>
    </row>
    <row r="349" spans="4:19" x14ac:dyDescent="0.3">
      <c r="D349" s="78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79"/>
    </row>
    <row r="350" spans="4:19" x14ac:dyDescent="0.3">
      <c r="D350" s="78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79"/>
    </row>
    <row r="351" spans="4:19" x14ac:dyDescent="0.3">
      <c r="D351" s="78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79"/>
    </row>
    <row r="352" spans="4:19" x14ac:dyDescent="0.3">
      <c r="D352" s="78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79"/>
    </row>
    <row r="353" spans="4:19" x14ac:dyDescent="0.3">
      <c r="D353" s="78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79"/>
    </row>
    <row r="354" spans="4:19" x14ac:dyDescent="0.3">
      <c r="D354" s="78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79"/>
    </row>
    <row r="355" spans="4:19" x14ac:dyDescent="0.3">
      <c r="D355" s="78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79"/>
    </row>
    <row r="356" spans="4:19" x14ac:dyDescent="0.3">
      <c r="D356" s="78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79"/>
    </row>
    <row r="357" spans="4:19" x14ac:dyDescent="0.3">
      <c r="D357" s="78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79"/>
    </row>
    <row r="358" spans="4:19" x14ac:dyDescent="0.3">
      <c r="D358" s="78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79"/>
    </row>
    <row r="359" spans="4:19" x14ac:dyDescent="0.3">
      <c r="D359" s="78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79"/>
    </row>
    <row r="360" spans="4:19" x14ac:dyDescent="0.3">
      <c r="D360" s="78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79"/>
    </row>
    <row r="361" spans="4:19" x14ac:dyDescent="0.3">
      <c r="D361" s="78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79"/>
    </row>
    <row r="362" spans="4:19" x14ac:dyDescent="0.3">
      <c r="D362" s="78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79"/>
    </row>
    <row r="363" spans="4:19" x14ac:dyDescent="0.3">
      <c r="D363" s="78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79"/>
    </row>
    <row r="364" spans="4:19" x14ac:dyDescent="0.3">
      <c r="D364" s="78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79"/>
    </row>
    <row r="365" spans="4:19" x14ac:dyDescent="0.3">
      <c r="D365" s="78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79"/>
    </row>
    <row r="366" spans="4:19" x14ac:dyDescent="0.3">
      <c r="D366" s="78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79"/>
    </row>
    <row r="367" spans="4:19" x14ac:dyDescent="0.3">
      <c r="D367" s="78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79"/>
    </row>
    <row r="368" spans="4:19" x14ac:dyDescent="0.3">
      <c r="D368" s="78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79"/>
    </row>
    <row r="369" spans="4:19" x14ac:dyDescent="0.3">
      <c r="D369" s="78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79"/>
    </row>
    <row r="370" spans="4:19" x14ac:dyDescent="0.3">
      <c r="D370" s="78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79"/>
    </row>
    <row r="371" spans="4:19" x14ac:dyDescent="0.3">
      <c r="D371" s="78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79"/>
    </row>
    <row r="372" spans="4:19" x14ac:dyDescent="0.3">
      <c r="D372" s="78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79"/>
    </row>
    <row r="373" spans="4:19" x14ac:dyDescent="0.3">
      <c r="D373" s="78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79"/>
    </row>
    <row r="374" spans="4:19" x14ac:dyDescent="0.3">
      <c r="D374" s="78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79"/>
    </row>
    <row r="375" spans="4:19" x14ac:dyDescent="0.3">
      <c r="D375" s="78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79"/>
    </row>
    <row r="376" spans="4:19" x14ac:dyDescent="0.3">
      <c r="D376" s="78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79"/>
    </row>
    <row r="377" spans="4:19" x14ac:dyDescent="0.3">
      <c r="D377" s="78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79"/>
    </row>
    <row r="378" spans="4:19" x14ac:dyDescent="0.3">
      <c r="D378" s="78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79"/>
    </row>
    <row r="379" spans="4:19" x14ac:dyDescent="0.3">
      <c r="D379" s="78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79"/>
    </row>
    <row r="380" spans="4:19" x14ac:dyDescent="0.3">
      <c r="D380" s="78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79"/>
    </row>
    <row r="381" spans="4:19" x14ac:dyDescent="0.3">
      <c r="D381" s="78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79"/>
    </row>
    <row r="382" spans="4:19" x14ac:dyDescent="0.3">
      <c r="D382" s="78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79"/>
    </row>
    <row r="383" spans="4:19" x14ac:dyDescent="0.3">
      <c r="D383" s="78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79"/>
    </row>
    <row r="384" spans="4:19" x14ac:dyDescent="0.3">
      <c r="D384" s="78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79"/>
    </row>
    <row r="385" spans="4:19" x14ac:dyDescent="0.3">
      <c r="D385" s="78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79"/>
    </row>
    <row r="386" spans="4:19" x14ac:dyDescent="0.3">
      <c r="D386" s="78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79"/>
    </row>
    <row r="387" spans="4:19" x14ac:dyDescent="0.3">
      <c r="D387" s="78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79"/>
    </row>
    <row r="388" spans="4:19" x14ac:dyDescent="0.3">
      <c r="D388" s="78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79"/>
    </row>
    <row r="389" spans="4:19" x14ac:dyDescent="0.3">
      <c r="D389" s="78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79"/>
    </row>
    <row r="390" spans="4:19" x14ac:dyDescent="0.3">
      <c r="D390" s="78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79"/>
    </row>
    <row r="391" spans="4:19" x14ac:dyDescent="0.3">
      <c r="D391" s="78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79"/>
    </row>
    <row r="392" spans="4:19" x14ac:dyDescent="0.3">
      <c r="D392" s="78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79"/>
    </row>
    <row r="393" spans="4:19" x14ac:dyDescent="0.3">
      <c r="D393" s="78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79"/>
    </row>
    <row r="394" spans="4:19" ht="19.5" thickBot="1" x14ac:dyDescent="0.35">
      <c r="D394" s="80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2"/>
    </row>
  </sheetData>
  <mergeCells count="16">
    <mergeCell ref="M21:S21"/>
    <mergeCell ref="M13:Q13"/>
    <mergeCell ref="N14:Q14"/>
    <mergeCell ref="N15:Q15"/>
    <mergeCell ref="N16:Q16"/>
    <mergeCell ref="N17:Q17"/>
    <mergeCell ref="R41:S41"/>
    <mergeCell ref="R42:S42"/>
    <mergeCell ref="R43:S43"/>
    <mergeCell ref="D292:E292"/>
    <mergeCell ref="R35:S35"/>
    <mergeCell ref="R36:S36"/>
    <mergeCell ref="R37:S37"/>
    <mergeCell ref="R38:S38"/>
    <mergeCell ref="R39:S39"/>
    <mergeCell ref="R40:S4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8AACB-6702-430A-A414-3BAE185DB12F}">
  <dimension ref="A1:T298"/>
  <sheetViews>
    <sheetView topLeftCell="A261" zoomScale="70" zoomScaleNormal="70" workbookViewId="0">
      <selection activeCell="G218" sqref="G218"/>
    </sheetView>
  </sheetViews>
  <sheetFormatPr defaultRowHeight="18.75" x14ac:dyDescent="0.3"/>
  <cols>
    <col min="1" max="1" width="5" style="1" bestFit="1" customWidth="1"/>
    <col min="2" max="2" width="30.42578125" style="4" customWidth="1"/>
    <col min="3" max="3" width="20.5703125" style="4" customWidth="1"/>
    <col min="4" max="5" width="17.42578125" style="4" customWidth="1"/>
    <col min="6" max="6" width="16.7109375" style="4" customWidth="1"/>
    <col min="7" max="8" width="14.5703125" style="4" customWidth="1"/>
    <col min="9" max="9" width="9.5703125" style="4" customWidth="1"/>
    <col min="10" max="11" width="9.140625" style="4" customWidth="1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2.7109375" style="4" customWidth="1"/>
    <col min="18" max="18" width="9.140625" style="4" customWidth="1"/>
    <col min="19" max="19" width="17.85546875" style="4" customWidth="1"/>
    <col min="20" max="20" width="19" style="4" customWidth="1"/>
    <col min="21" max="21" width="6.7109375" style="4" customWidth="1"/>
    <col min="22" max="22" width="15.28515625" style="4" customWidth="1"/>
    <col min="23" max="23" width="12.85546875" style="4" customWidth="1"/>
    <col min="24" max="24" width="14.140625" style="4" customWidth="1"/>
    <col min="25" max="25" width="11.85546875" style="4" customWidth="1"/>
    <col min="26" max="26" width="10.28515625" style="4" customWidth="1"/>
    <col min="27" max="16384" width="9.140625" style="4"/>
  </cols>
  <sheetData>
    <row r="1" spans="1:17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7" x14ac:dyDescent="0.3">
      <c r="B2" s="5"/>
    </row>
    <row r="3" spans="1:17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7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7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7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7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7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7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17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17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1">
        <f>'4th Iteration'!C273</f>
        <v>407.98242050258898</v>
      </c>
      <c r="I11" s="10" t="s">
        <v>7</v>
      </c>
    </row>
    <row r="12" spans="1:17" ht="23.25" thickBot="1" x14ac:dyDescent="0.35">
      <c r="A12" s="8" t="s">
        <v>10</v>
      </c>
      <c r="B12" s="9" t="s">
        <v>255</v>
      </c>
      <c r="C12" s="10"/>
      <c r="D12" s="10"/>
      <c r="E12" s="10"/>
      <c r="H12" s="21">
        <f>H10+H11</f>
        <v>32807.982420502587</v>
      </c>
      <c r="I12" s="10" t="s">
        <v>7</v>
      </c>
    </row>
    <row r="13" spans="1:17" ht="19.5" thickBot="1" x14ac:dyDescent="0.35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</row>
    <row r="14" spans="1:17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</row>
    <row r="15" spans="1:17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</row>
    <row r="16" spans="1:17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</row>
    <row r="17" spans="1:19" ht="19.5" thickBot="1" x14ac:dyDescent="0.35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</row>
    <row r="18" spans="1:19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</row>
    <row r="19" spans="1:19" ht="19.5" thickBot="1" x14ac:dyDescent="0.35">
      <c r="A19" s="1" t="s">
        <v>17</v>
      </c>
      <c r="B19" s="4" t="s">
        <v>18</v>
      </c>
      <c r="H19" s="33">
        <f>3%</f>
        <v>0.03</v>
      </c>
    </row>
    <row r="20" spans="1:19" ht="23.25" thickBot="1" x14ac:dyDescent="0.35">
      <c r="B20" s="4" t="s">
        <v>218</v>
      </c>
      <c r="H20" s="38">
        <v>2.65</v>
      </c>
      <c r="I20" s="4" t="s">
        <v>174</v>
      </c>
    </row>
    <row r="21" spans="1:19" ht="19.5" thickBot="1" x14ac:dyDescent="0.35">
      <c r="B21" s="4" t="s">
        <v>219</v>
      </c>
      <c r="H21" s="33">
        <f>0.01</f>
        <v>0.01</v>
      </c>
      <c r="M21" s="88"/>
      <c r="N21" s="88"/>
      <c r="O21" s="88"/>
      <c r="P21" s="88"/>
      <c r="Q21" s="88"/>
      <c r="R21" s="88"/>
      <c r="S21" s="88"/>
    </row>
    <row r="22" spans="1:19" ht="19.5" thickBot="1" x14ac:dyDescent="0.35">
      <c r="A22" s="1">
        <v>4</v>
      </c>
      <c r="B22" s="5" t="s">
        <v>19</v>
      </c>
      <c r="M22" s="57"/>
      <c r="N22" s="57"/>
      <c r="O22" s="57"/>
      <c r="P22" s="57"/>
      <c r="Q22" s="57"/>
      <c r="R22" s="57"/>
      <c r="S22" s="57"/>
    </row>
    <row r="23" spans="1:19" ht="19.5" thickBot="1" x14ac:dyDescent="0.35">
      <c r="A23" s="1" t="s">
        <v>6</v>
      </c>
      <c r="B23" s="5" t="s">
        <v>20</v>
      </c>
      <c r="H23" s="33">
        <f>0.04</f>
        <v>0.04</v>
      </c>
      <c r="R23" s="57"/>
      <c r="S23" s="57"/>
    </row>
    <row r="24" spans="1:19" ht="19.5" thickBot="1" x14ac:dyDescent="0.35">
      <c r="A24" s="1" t="s">
        <v>8</v>
      </c>
      <c r="B24" s="5" t="s">
        <v>21</v>
      </c>
      <c r="H24" s="33">
        <v>0.05</v>
      </c>
      <c r="R24" s="57"/>
      <c r="S24" s="57"/>
    </row>
    <row r="25" spans="1:19" ht="19.5" thickBot="1" x14ac:dyDescent="0.35">
      <c r="B25" s="5" t="s">
        <v>215</v>
      </c>
      <c r="H25" s="35">
        <f>0.85</f>
        <v>0.85</v>
      </c>
      <c r="R25" s="57"/>
      <c r="S25" s="57"/>
    </row>
    <row r="26" spans="1:19" ht="19.5" thickBot="1" x14ac:dyDescent="0.35">
      <c r="B26" s="5" t="s">
        <v>216</v>
      </c>
      <c r="H26" s="35">
        <f>0.06</f>
        <v>0.06</v>
      </c>
      <c r="R26" s="57"/>
      <c r="S26" s="57"/>
    </row>
    <row r="27" spans="1:19" ht="19.5" thickBot="1" x14ac:dyDescent="0.35">
      <c r="A27" s="1" t="s">
        <v>10</v>
      </c>
      <c r="B27" s="5" t="s">
        <v>22</v>
      </c>
      <c r="H27" s="35">
        <f>0.9</f>
        <v>0.9</v>
      </c>
      <c r="R27" s="57"/>
      <c r="S27" s="57"/>
    </row>
    <row r="28" spans="1:19" ht="19.5" thickBot="1" x14ac:dyDescent="0.35">
      <c r="A28" s="1" t="s">
        <v>15</v>
      </c>
      <c r="B28" s="5" t="s">
        <v>23</v>
      </c>
      <c r="H28" s="34">
        <v>0.05</v>
      </c>
      <c r="R28" s="57"/>
      <c r="S28" s="57"/>
    </row>
    <row r="29" spans="1:19" ht="19.5" thickBot="1" x14ac:dyDescent="0.35">
      <c r="A29" s="1" t="s">
        <v>17</v>
      </c>
      <c r="B29" s="5" t="s">
        <v>24</v>
      </c>
      <c r="H29" s="11">
        <v>1</v>
      </c>
      <c r="R29" s="57"/>
      <c r="S29" s="57"/>
    </row>
    <row r="30" spans="1:19" ht="19.5" thickBot="1" x14ac:dyDescent="0.35">
      <c r="A30" s="1" t="s">
        <v>25</v>
      </c>
      <c r="B30" s="5" t="s">
        <v>26</v>
      </c>
      <c r="H30" s="12">
        <f>0.65</f>
        <v>0.65</v>
      </c>
      <c r="R30" s="57"/>
      <c r="S30" s="57"/>
    </row>
    <row r="31" spans="1:19" ht="21" thickBot="1" x14ac:dyDescent="0.4">
      <c r="A31" s="1" t="s">
        <v>27</v>
      </c>
      <c r="B31" s="5" t="s">
        <v>28</v>
      </c>
      <c r="H31" s="11">
        <f>0.68</f>
        <v>0.68</v>
      </c>
      <c r="R31" s="57"/>
      <c r="S31" s="57"/>
    </row>
    <row r="32" spans="1:19" ht="19.5" thickBot="1" x14ac:dyDescent="0.35">
      <c r="A32" s="1">
        <v>5</v>
      </c>
      <c r="B32" s="5" t="s">
        <v>29</v>
      </c>
      <c r="R32" s="57"/>
      <c r="S32" s="57"/>
    </row>
    <row r="33" spans="1:19" ht="24" thickBot="1" x14ac:dyDescent="0.4">
      <c r="A33" s="1" t="s">
        <v>6</v>
      </c>
      <c r="B33" s="4" t="s">
        <v>12</v>
      </c>
      <c r="H33" s="32">
        <v>10</v>
      </c>
      <c r="I33" s="4" t="s">
        <v>9</v>
      </c>
      <c r="R33" s="57"/>
      <c r="S33" s="57"/>
    </row>
    <row r="34" spans="1:19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  <c r="R34" s="57"/>
      <c r="S34" s="57"/>
    </row>
    <row r="35" spans="1:19" ht="19.5" thickBot="1" x14ac:dyDescent="0.35">
      <c r="B35" s="5" t="s">
        <v>257</v>
      </c>
      <c r="R35" s="88"/>
      <c r="S35" s="88"/>
    </row>
    <row r="36" spans="1:19" ht="24" thickBot="1" x14ac:dyDescent="0.4">
      <c r="A36" s="1" t="s">
        <v>10</v>
      </c>
      <c r="B36" s="4" t="s">
        <v>12</v>
      </c>
      <c r="H36" s="32">
        <v>20</v>
      </c>
      <c r="I36" s="4" t="s">
        <v>9</v>
      </c>
      <c r="R36" s="88"/>
      <c r="S36" s="88"/>
    </row>
    <row r="37" spans="1:19" ht="21" thickBot="1" x14ac:dyDescent="0.4">
      <c r="A37" s="1" t="s">
        <v>15</v>
      </c>
      <c r="B37" s="4" t="s">
        <v>13</v>
      </c>
      <c r="H37" s="32">
        <v>30</v>
      </c>
      <c r="I37" s="4" t="str">
        <f>I36</f>
        <v>g/m3</v>
      </c>
      <c r="R37" s="88"/>
      <c r="S37" s="88"/>
    </row>
    <row r="38" spans="1:19" x14ac:dyDescent="0.3">
      <c r="A38" s="1">
        <v>6</v>
      </c>
      <c r="B38" s="5" t="s">
        <v>30</v>
      </c>
      <c r="R38" s="88"/>
      <c r="S38" s="88"/>
    </row>
    <row r="39" spans="1:19" ht="19.5" thickBot="1" x14ac:dyDescent="0.35">
      <c r="B39" s="5" t="s">
        <v>31</v>
      </c>
      <c r="R39" s="88"/>
      <c r="S39" s="88"/>
    </row>
    <row r="40" spans="1:19" ht="19.5" thickBot="1" x14ac:dyDescent="0.35">
      <c r="A40" s="1" t="s">
        <v>6</v>
      </c>
      <c r="B40" s="5" t="s">
        <v>32</v>
      </c>
      <c r="H40" s="33">
        <f>0.33</f>
        <v>0.33</v>
      </c>
      <c r="R40" s="88"/>
      <c r="S40" s="88"/>
    </row>
    <row r="41" spans="1:19" ht="19.5" thickBot="1" x14ac:dyDescent="0.35">
      <c r="A41" s="1" t="s">
        <v>8</v>
      </c>
      <c r="B41" s="5" t="s">
        <v>33</v>
      </c>
      <c r="H41" s="33">
        <f>0.5</f>
        <v>0.5</v>
      </c>
      <c r="R41" s="88"/>
      <c r="S41" s="88"/>
    </row>
    <row r="42" spans="1:19" ht="21" thickBot="1" x14ac:dyDescent="0.4">
      <c r="A42" s="1" t="s">
        <v>10</v>
      </c>
      <c r="B42" s="5" t="s">
        <v>34</v>
      </c>
      <c r="H42" s="12">
        <f>0.85</f>
        <v>0.85</v>
      </c>
      <c r="R42" s="88"/>
      <c r="S42" s="88"/>
    </row>
    <row r="43" spans="1:19" x14ac:dyDescent="0.3">
      <c r="A43" s="1">
        <v>7</v>
      </c>
      <c r="B43" s="5" t="s">
        <v>35</v>
      </c>
      <c r="R43" s="88"/>
      <c r="S43" s="88"/>
    </row>
    <row r="44" spans="1:19" ht="19.5" thickBot="1" x14ac:dyDescent="0.35">
      <c r="B44" s="5" t="s">
        <v>36</v>
      </c>
    </row>
    <row r="45" spans="1:19" ht="21" thickBot="1" x14ac:dyDescent="0.4">
      <c r="A45" s="1" t="s">
        <v>6</v>
      </c>
      <c r="B45" s="5" t="s">
        <v>37</v>
      </c>
      <c r="H45" s="11">
        <f>0.8</f>
        <v>0.8</v>
      </c>
    </row>
    <row r="46" spans="1:19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19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19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'1st Iteration'!H54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0.9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31">
        <f>'4th Iteration'!D273</f>
        <v>879.45749949880519</v>
      </c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10599.457499498805</v>
      </c>
      <c r="I75" s="4" t="s">
        <v>63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31">
        <f>'4th Iteration'!E273</f>
        <v>1898.7846794229922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14858.784679422992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14210.784679422992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3491.6264577146057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7089.0597777841995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7105.3923397114959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7105.3923397114959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9955.3857352134055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6039.5834887547717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3896.3622464586333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177.63480849278739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0.54836693882224652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100.65972481257953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76.97508368020786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6039.5834887547717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1065.8088509567242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13846.153846153848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7331.5816079090018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564.3491077770683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31770.186967605678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3197.9782774033879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32807.982420502587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7089.0597777841995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216.07728530584851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2789.0222278347605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3486.2777847934503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656.15964841005166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984.2394726150776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2203.327559989461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2754.1594499868261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1769.9199773717485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252.84571105310692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1592.9279796345736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31.858559592691471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220.98715146041545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1592.9279796345736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50000.000000000007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38624.000000000007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1230.5050057081157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176.99199773717487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800.91533180778038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502.68649885583528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111.08725745976042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0" ht="21" thickBot="1" x14ac:dyDescent="0.4">
      <c r="B193" s="4" t="s">
        <v>118</v>
      </c>
      <c r="H193" s="21">
        <f>H129+H174</f>
        <v>7632.5114683893453</v>
      </c>
      <c r="I193" s="4" t="s">
        <v>63</v>
      </c>
    </row>
    <row r="194" spans="1:20" ht="23.25" thickBot="1" x14ac:dyDescent="0.35">
      <c r="B194" s="4" t="s">
        <v>143</v>
      </c>
      <c r="H194" s="21">
        <f>(H129/(H125*H126*H68))+(H174/(H165*H167*H68))</f>
        <v>132.518284405271</v>
      </c>
      <c r="I194" s="4" t="s">
        <v>7</v>
      </c>
    </row>
    <row r="195" spans="1:20" ht="21" thickBot="1" x14ac:dyDescent="0.4">
      <c r="A195" s="1" t="s">
        <v>91</v>
      </c>
      <c r="B195" s="4" t="s">
        <v>144</v>
      </c>
    </row>
    <row r="196" spans="1:20" ht="21" thickBot="1" x14ac:dyDescent="0.4">
      <c r="B196" s="4" t="s">
        <v>145</v>
      </c>
      <c r="H196" s="21">
        <f>(H129*H122)+(H174*H140)</f>
        <v>4586.2502931974968</v>
      </c>
      <c r="I196" s="4" t="s">
        <v>63</v>
      </c>
    </row>
    <row r="197" spans="1:20" ht="21" thickBot="1" x14ac:dyDescent="0.4">
      <c r="B197" s="4" t="s">
        <v>314</v>
      </c>
      <c r="H197" s="22">
        <f>H196/H193</f>
        <v>0.6008835115665162</v>
      </c>
    </row>
    <row r="198" spans="1:20" ht="19.5" thickBot="1" x14ac:dyDescent="0.35">
      <c r="A198" s="1" t="s">
        <v>122</v>
      </c>
      <c r="B198" s="4" t="s">
        <v>147</v>
      </c>
    </row>
    <row r="199" spans="1:20" ht="21" thickBot="1" x14ac:dyDescent="0.4">
      <c r="B199" s="4" t="s">
        <v>145</v>
      </c>
      <c r="H199" s="21">
        <f>H196*(H188)</f>
        <v>2751.7501759184979</v>
      </c>
      <c r="I199" s="4" t="s">
        <v>63</v>
      </c>
    </row>
    <row r="200" spans="1:20" ht="19.5" thickBot="1" x14ac:dyDescent="0.35">
      <c r="A200" s="1" t="s">
        <v>95</v>
      </c>
      <c r="B200" s="4" t="s">
        <v>148</v>
      </c>
    </row>
    <row r="201" spans="1:20" ht="19.5" thickBot="1" x14ac:dyDescent="0.35">
      <c r="B201" s="4" t="s">
        <v>149</v>
      </c>
      <c r="H201" s="21">
        <f>(H129/H125)</f>
        <v>100659.72481257953</v>
      </c>
      <c r="I201" s="4" t="s">
        <v>63</v>
      </c>
      <c r="K201" s="4" t="s">
        <v>150</v>
      </c>
    </row>
    <row r="202" spans="1:20" ht="19.5" thickBot="1" x14ac:dyDescent="0.35">
      <c r="B202" s="4" t="s">
        <v>151</v>
      </c>
      <c r="H202" s="21">
        <f>H174/H165</f>
        <v>31858.559592691472</v>
      </c>
      <c r="I202" s="4" t="s">
        <v>63</v>
      </c>
      <c r="K202" s="4" t="s">
        <v>152</v>
      </c>
    </row>
    <row r="204" spans="1:20" ht="19.5" thickBot="1" x14ac:dyDescent="0.35">
      <c r="B204" s="4" t="s">
        <v>153</v>
      </c>
    </row>
    <row r="205" spans="1:20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</row>
    <row r="206" spans="1:20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</row>
    <row r="207" spans="1:20" ht="21" thickBot="1" x14ac:dyDescent="0.4">
      <c r="B207" s="4" t="s">
        <v>157</v>
      </c>
      <c r="H207" s="21">
        <f>H178+H135</f>
        <v>4428.4832831115036</v>
      </c>
      <c r="I207" s="4" t="s">
        <v>63</v>
      </c>
      <c r="J207" s="4" t="s">
        <v>158</v>
      </c>
      <c r="Q207" s="24"/>
      <c r="R207" s="24"/>
      <c r="S207" s="24"/>
      <c r="T207" s="24"/>
    </row>
    <row r="208" spans="1:20" ht="21" thickBot="1" x14ac:dyDescent="0.4">
      <c r="B208" s="4" t="s">
        <v>85</v>
      </c>
      <c r="H208" s="21">
        <f>H207*(1-H188)</f>
        <v>1771.3933132446016</v>
      </c>
      <c r="I208" s="4" t="s">
        <v>63</v>
      </c>
      <c r="J208" s="4" t="s">
        <v>159</v>
      </c>
      <c r="Q208" s="24"/>
      <c r="R208" s="24"/>
      <c r="S208" s="24"/>
      <c r="T208" s="24"/>
    </row>
    <row r="209" spans="1:20" ht="23.25" thickBot="1" x14ac:dyDescent="0.35">
      <c r="B209" s="4" t="s">
        <v>160</v>
      </c>
      <c r="H209" s="31">
        <f>$H$194</f>
        <v>132.518284405271</v>
      </c>
      <c r="I209" s="4" t="s">
        <v>7</v>
      </c>
      <c r="J209" s="4" t="s">
        <v>161</v>
      </c>
      <c r="Q209" s="24"/>
      <c r="R209" s="24"/>
      <c r="S209" s="24"/>
      <c r="T209" s="24"/>
    </row>
    <row r="210" spans="1:20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</row>
    <row r="211" spans="1:20" ht="21" thickBot="1" x14ac:dyDescent="0.4">
      <c r="B211" s="4" t="s">
        <v>163</v>
      </c>
      <c r="H211" s="21">
        <f>H205*((H207-H208)/(1+(H206*H210)))</f>
        <v>132.85449849334509</v>
      </c>
      <c r="I211" s="4" t="s">
        <v>63</v>
      </c>
      <c r="J211" s="4" t="s">
        <v>164</v>
      </c>
      <c r="Q211" s="24"/>
      <c r="R211" s="24"/>
      <c r="S211" s="24"/>
      <c r="T211" s="24"/>
    </row>
    <row r="212" spans="1:20" ht="24" thickBot="1" x14ac:dyDescent="0.4">
      <c r="B212" s="4" t="s">
        <v>165</v>
      </c>
      <c r="H212" s="21">
        <f>((H207-H208)-(1.42*H211))*0.35</f>
        <v>863.95280370222304</v>
      </c>
      <c r="I212" s="4" t="s">
        <v>7</v>
      </c>
      <c r="Q212" s="24"/>
      <c r="R212" s="24"/>
      <c r="S212" s="24"/>
      <c r="T212" s="24"/>
    </row>
    <row r="213" spans="1:20" ht="24" thickBot="1" x14ac:dyDescent="0.4">
      <c r="B213" s="4" t="s">
        <v>166</v>
      </c>
      <c r="H213" s="21">
        <f>H212/0.65</f>
        <v>1329.1581595418816</v>
      </c>
      <c r="I213" s="4" t="s">
        <v>7</v>
      </c>
      <c r="J213" s="4" t="s">
        <v>167</v>
      </c>
      <c r="Q213" s="24"/>
      <c r="R213" s="24"/>
      <c r="S213" s="24"/>
      <c r="T213" s="24"/>
    </row>
    <row r="214" spans="1:20" ht="23.25" thickBot="1" x14ac:dyDescent="0.35">
      <c r="B214" s="4" t="s">
        <v>168</v>
      </c>
      <c r="H214" s="21">
        <f>H213*1.12</f>
        <v>1488.6571386869075</v>
      </c>
      <c r="I214" s="4" t="s">
        <v>63</v>
      </c>
      <c r="J214" s="4" t="s">
        <v>245</v>
      </c>
      <c r="Q214" s="24"/>
      <c r="R214" s="24"/>
      <c r="S214" s="24"/>
      <c r="T214" s="24"/>
    </row>
    <row r="216" spans="1:20" x14ac:dyDescent="0.3">
      <c r="A216" s="1" t="s">
        <v>169</v>
      </c>
      <c r="B216" s="4" t="s">
        <v>170</v>
      </c>
    </row>
    <row r="217" spans="1:20" ht="21" thickBot="1" x14ac:dyDescent="0.4">
      <c r="B217" s="4" t="s">
        <v>171</v>
      </c>
    </row>
    <row r="218" spans="1:20" ht="19.5" thickBot="1" x14ac:dyDescent="0.35">
      <c r="B218" s="4" t="s">
        <v>172</v>
      </c>
      <c r="H218" s="21">
        <f>H193-H196</f>
        <v>3046.2611751918485</v>
      </c>
      <c r="I218" s="4" t="s">
        <v>63</v>
      </c>
    </row>
    <row r="219" spans="1:20" ht="21" thickBot="1" x14ac:dyDescent="0.4">
      <c r="B219" s="4" t="s">
        <v>173</v>
      </c>
      <c r="H219" s="21">
        <f>H218+(H196-H199)</f>
        <v>4880.7612924708474</v>
      </c>
      <c r="I219" s="4" t="s">
        <v>63</v>
      </c>
    </row>
    <row r="221" spans="1:20" ht="19.5" thickBot="1" x14ac:dyDescent="0.35">
      <c r="B221" s="4" t="s">
        <v>175</v>
      </c>
    </row>
    <row r="222" spans="1:20" ht="19.5" thickBot="1" x14ac:dyDescent="0.35">
      <c r="B222" s="4" t="s">
        <v>176</v>
      </c>
      <c r="H222" s="21">
        <f>H201+H202</f>
        <v>132518.284405271</v>
      </c>
      <c r="I222" s="4" t="s">
        <v>63</v>
      </c>
    </row>
    <row r="223" spans="1:20" ht="19.5" thickBot="1" x14ac:dyDescent="0.35">
      <c r="B223" s="4" t="s">
        <v>177</v>
      </c>
      <c r="H223" s="21">
        <f>H214</f>
        <v>1488.6571386869075</v>
      </c>
      <c r="I223" s="4" t="s">
        <v>63</v>
      </c>
    </row>
    <row r="224" spans="1:20" ht="19.5" thickBot="1" x14ac:dyDescent="0.35">
      <c r="B224" s="4" t="s">
        <v>178</v>
      </c>
      <c r="H224" s="21">
        <f>H222-H223</f>
        <v>131029.6272665841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185.6355634287064</v>
      </c>
      <c r="I234" s="4" t="s">
        <v>63</v>
      </c>
    </row>
    <row r="235" spans="1:9" ht="21" thickBot="1" x14ac:dyDescent="0.4">
      <c r="B235" s="4" t="s">
        <v>188</v>
      </c>
      <c r="H235" s="21">
        <f>H234</f>
        <v>185.6355634287064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4695.1257290421408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37.127112685741281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93.902514580842819</v>
      </c>
      <c r="I239" s="4" t="s">
        <v>7</v>
      </c>
    </row>
    <row r="241" spans="1:11" ht="19.5" thickBot="1" x14ac:dyDescent="0.35">
      <c r="A241" s="1" t="s">
        <v>192</v>
      </c>
      <c r="B241" s="4" t="s">
        <v>193</v>
      </c>
    </row>
    <row r="242" spans="1:11" ht="23.25" thickBot="1" x14ac:dyDescent="0.35">
      <c r="B242" s="4" t="s">
        <v>106</v>
      </c>
      <c r="H242" s="21">
        <f>H238</f>
        <v>37.127112685741281</v>
      </c>
      <c r="I242" s="4" t="s">
        <v>7</v>
      </c>
    </row>
    <row r="243" spans="1:11" ht="21" thickBot="1" x14ac:dyDescent="0.4">
      <c r="B243" s="4" t="s">
        <v>194</v>
      </c>
      <c r="H243" s="21">
        <f>(H242*H189)/(10^3)</f>
        <v>37.127112685741281</v>
      </c>
      <c r="I243" s="4" t="s">
        <v>63</v>
      </c>
    </row>
    <row r="244" spans="1:11" ht="21" thickBot="1" x14ac:dyDescent="0.4">
      <c r="B244" s="4" t="s">
        <v>188</v>
      </c>
      <c r="H244" s="21">
        <f>H235</f>
        <v>185.6355634287064</v>
      </c>
      <c r="I244" s="4" t="s">
        <v>63</v>
      </c>
    </row>
    <row r="246" spans="1:11" x14ac:dyDescent="0.3">
      <c r="A246" s="1" t="s">
        <v>25</v>
      </c>
      <c r="B246" s="4" t="s">
        <v>195</v>
      </c>
    </row>
    <row r="247" spans="1:11" ht="19.5" thickBot="1" x14ac:dyDescent="0.35">
      <c r="A247" s="1" t="s">
        <v>87</v>
      </c>
      <c r="B247" s="4" t="s">
        <v>196</v>
      </c>
    </row>
    <row r="248" spans="1:11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11" ht="19.5" thickBot="1" x14ac:dyDescent="0.35">
      <c r="B249" s="5" t="s">
        <v>55</v>
      </c>
      <c r="H249" s="44">
        <f>$H$62</f>
        <v>1.123</v>
      </c>
    </row>
    <row r="250" spans="1:11" ht="19.5" thickBot="1" x14ac:dyDescent="0.35">
      <c r="B250" s="5" t="s">
        <v>56</v>
      </c>
      <c r="H250" s="16">
        <f>$H$63</f>
        <v>0.9</v>
      </c>
    </row>
    <row r="251" spans="1:11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11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11" ht="19.5" thickBot="1" x14ac:dyDescent="0.35">
      <c r="A254" s="1" t="s">
        <v>115</v>
      </c>
      <c r="B254" s="4" t="s">
        <v>198</v>
      </c>
    </row>
    <row r="255" spans="1:11" ht="21" thickBot="1" x14ac:dyDescent="0.4">
      <c r="B255" s="4" t="s">
        <v>203</v>
      </c>
      <c r="H255" s="21">
        <f>H236*H250</f>
        <v>4225.613156137927</v>
      </c>
      <c r="I255" s="4" t="s">
        <v>63</v>
      </c>
      <c r="K255" s="4">
        <f>H255/H248</f>
        <v>19207.332527899667</v>
      </c>
    </row>
    <row r="256" spans="1:11" ht="23.25" thickBot="1" x14ac:dyDescent="0.35">
      <c r="B256" s="4" t="s">
        <v>223</v>
      </c>
      <c r="H256" s="21">
        <f>H255/(H249*H248*1000)</f>
        <v>17.103590852982787</v>
      </c>
      <c r="I256" s="4" t="s">
        <v>7</v>
      </c>
    </row>
    <row r="257" spans="1:9" ht="24" thickBot="1" x14ac:dyDescent="0.4">
      <c r="B257" s="4" t="s">
        <v>135</v>
      </c>
      <c r="H257" s="21">
        <f>(H255/H256)*(10^3)*H95*H96*H97</f>
        <v>155064.7384</v>
      </c>
      <c r="I257" s="4" t="s">
        <v>9</v>
      </c>
    </row>
    <row r="258" spans="1:9" ht="21" thickBot="1" x14ac:dyDescent="0.4">
      <c r="B258" s="4" t="s">
        <v>274</v>
      </c>
      <c r="H258" s="50">
        <f>(H257*H256)/(10^3)</f>
        <v>2652.1638413184091</v>
      </c>
      <c r="I258" s="4" t="s">
        <v>63</v>
      </c>
    </row>
    <row r="260" spans="1:9" ht="19.5" thickBot="1" x14ac:dyDescent="0.35">
      <c r="A260" s="1" t="s">
        <v>91</v>
      </c>
      <c r="B260" s="4" t="s">
        <v>200</v>
      </c>
    </row>
    <row r="261" spans="1:9" ht="23.25" thickBot="1" x14ac:dyDescent="0.35">
      <c r="B261" s="4" t="s">
        <v>201</v>
      </c>
      <c r="H261" s="21">
        <f>H239-H256</f>
        <v>76.798923727860029</v>
      </c>
      <c r="I261" s="4" t="s">
        <v>7</v>
      </c>
    </row>
    <row r="262" spans="1:9" ht="21" thickBot="1" x14ac:dyDescent="0.4">
      <c r="B262" s="4" t="s">
        <v>202</v>
      </c>
      <c r="H262" s="21">
        <f>(H261*H251)/(10^3)</f>
        <v>153.59784745572006</v>
      </c>
      <c r="I262" s="4" t="s">
        <v>63</v>
      </c>
    </row>
    <row r="263" spans="1:9" ht="21" thickBot="1" x14ac:dyDescent="0.4">
      <c r="B263" s="4" t="s">
        <v>203</v>
      </c>
      <c r="H263" s="21">
        <f>H236-H255</f>
        <v>469.51257290421381</v>
      </c>
      <c r="I263" s="4" t="s">
        <v>63</v>
      </c>
    </row>
    <row r="265" spans="1:9" x14ac:dyDescent="0.3">
      <c r="A265" s="1" t="s">
        <v>27</v>
      </c>
      <c r="B265" s="4" t="s">
        <v>204</v>
      </c>
    </row>
    <row r="267" spans="1:9" x14ac:dyDescent="0.3">
      <c r="F267" s="4" t="s">
        <v>214</v>
      </c>
    </row>
    <row r="268" spans="1:9" ht="23.25" x14ac:dyDescent="0.35">
      <c r="B268" s="28" t="s">
        <v>205</v>
      </c>
      <c r="C268" s="28" t="s">
        <v>206</v>
      </c>
      <c r="D268" s="28" t="s">
        <v>207</v>
      </c>
      <c r="E268" s="28" t="s">
        <v>208</v>
      </c>
      <c r="F268" s="28" t="s">
        <v>206</v>
      </c>
      <c r="G268" s="28" t="s">
        <v>207</v>
      </c>
      <c r="H268" s="28" t="s">
        <v>208</v>
      </c>
    </row>
    <row r="269" spans="1:9" x14ac:dyDescent="0.3">
      <c r="B269" s="28" t="s">
        <v>247</v>
      </c>
      <c r="C269" s="29">
        <f>H128</f>
        <v>76.97508368020786</v>
      </c>
      <c r="D269" s="29">
        <f>H133</f>
        <v>564.3491077770683</v>
      </c>
      <c r="E269" s="45">
        <f>H130</f>
        <v>1065.8088509567242</v>
      </c>
      <c r="F269" s="29">
        <f>C269-'4th Iteration'!C269</f>
        <v>-6.2427918215917089E-2</v>
      </c>
      <c r="G269" s="29">
        <f>D269-'4th Iteration'!D269</f>
        <v>-0.40897931450319902</v>
      </c>
      <c r="H269" s="29">
        <f>E269-'4th Iteration'!E269</f>
        <v>-0.86438655991241831</v>
      </c>
    </row>
    <row r="270" spans="1:9" x14ac:dyDescent="0.3">
      <c r="B270" s="28" t="s">
        <v>209</v>
      </c>
      <c r="C270" s="29">
        <f>H172</f>
        <v>220.98715146041545</v>
      </c>
      <c r="D270" s="29">
        <f>H184</f>
        <v>111.08725745976042</v>
      </c>
      <c r="E270" s="45">
        <f>H180</f>
        <v>176.99199773717487</v>
      </c>
      <c r="F270" s="29">
        <f>C270-'4th Iteration'!C270</f>
        <v>0.2862900643297337</v>
      </c>
      <c r="G270" s="29">
        <f>D270-'4th Iteration'!D270</f>
        <v>0.14391415009507114</v>
      </c>
      <c r="H270" s="29">
        <f>E270-'4th Iteration'!E270</f>
        <v>0.22929410186588939</v>
      </c>
    </row>
    <row r="271" spans="1:9" x14ac:dyDescent="0.3">
      <c r="B271" s="28" t="s">
        <v>210</v>
      </c>
      <c r="C271" s="29">
        <f>H238</f>
        <v>37.127112685741281</v>
      </c>
      <c r="D271" s="29">
        <f>H243</f>
        <v>37.127112685741281</v>
      </c>
      <c r="E271" s="45">
        <f>H244</f>
        <v>185.6355634287064</v>
      </c>
      <c r="F271" s="29">
        <f>C271-'4th Iteration'!C271</f>
        <v>20.395086767150634</v>
      </c>
      <c r="G271" s="29">
        <f>D271-'4th Iteration'!D271</f>
        <v>20.395086767150634</v>
      </c>
      <c r="H271" s="29">
        <f>E271-'4th Iteration'!E271</f>
        <v>101.97543383575317</v>
      </c>
    </row>
    <row r="272" spans="1:9" x14ac:dyDescent="0.3">
      <c r="B272" s="28" t="s">
        <v>211</v>
      </c>
      <c r="C272" s="29">
        <f>H261</f>
        <v>76.798923727860029</v>
      </c>
      <c r="D272" s="29">
        <f>H262</f>
        <v>153.59784745572006</v>
      </c>
      <c r="E272" s="45">
        <f>H263</f>
        <v>469.51257290421381</v>
      </c>
      <c r="F272" s="29">
        <f>C272-'4th Iteration'!C272</f>
        <v>-16.713097861628825</v>
      </c>
      <c r="G272" s="29">
        <f>D272-'4th Iteration'!D272</f>
        <v>-33.426195723257649</v>
      </c>
      <c r="H272" s="29">
        <f>E272-'4th Iteration'!E272</f>
        <v>-102.17603577387945</v>
      </c>
    </row>
    <row r="273" spans="2:8" x14ac:dyDescent="0.3">
      <c r="B273" s="28" t="s">
        <v>212</v>
      </c>
      <c r="C273" s="29">
        <f>SUM(C269:C272)</f>
        <v>411.88827155422462</v>
      </c>
      <c r="D273" s="29">
        <f t="shared" ref="D273:E273" si="0">SUM(D269:D272)</f>
        <v>866.16132537829003</v>
      </c>
      <c r="E273" s="45">
        <f t="shared" si="0"/>
        <v>1897.9489850268192</v>
      </c>
      <c r="F273" s="29">
        <f>SUM(F269:F272)</f>
        <v>3.9058510516356257</v>
      </c>
      <c r="G273" s="29">
        <f t="shared" ref="G273:H273" si="1">SUM(G269:G272)</f>
        <v>-13.296174120515143</v>
      </c>
      <c r="H273" s="29">
        <f t="shared" si="1"/>
        <v>-0.83569439617281205</v>
      </c>
    </row>
    <row r="274" spans="2:8" x14ac:dyDescent="0.3">
      <c r="F274" s="47">
        <f>F273/C273</f>
        <v>9.4827925954221425E-3</v>
      </c>
      <c r="G274" s="47">
        <f t="shared" ref="G274:H274" si="2">G273/D273</f>
        <v>-1.5350690143903771E-2</v>
      </c>
      <c r="H274" s="47">
        <f t="shared" si="2"/>
        <v>-4.4031446723053158E-4</v>
      </c>
    </row>
    <row r="278" spans="2:8" ht="23.25" x14ac:dyDescent="0.35">
      <c r="B278" s="28" t="s">
        <v>205</v>
      </c>
      <c r="C278" s="28" t="s">
        <v>206</v>
      </c>
      <c r="D278" s="28" t="s">
        <v>315</v>
      </c>
      <c r="E278" s="28" t="s">
        <v>316</v>
      </c>
    </row>
    <row r="279" spans="2:8" x14ac:dyDescent="0.3">
      <c r="B279" s="48" t="s">
        <v>258</v>
      </c>
      <c r="C279" s="85">
        <f>H10</f>
        <v>32400</v>
      </c>
      <c r="D279" s="85">
        <f>H73</f>
        <v>9720</v>
      </c>
      <c r="E279" s="85">
        <f>H78</f>
        <v>12960</v>
      </c>
    </row>
    <row r="280" spans="2:8" x14ac:dyDescent="0.3">
      <c r="B280" s="48" t="s">
        <v>259</v>
      </c>
      <c r="C280" s="85">
        <f>H84</f>
        <v>24.452830188679243</v>
      </c>
      <c r="D280" s="85">
        <f>H86</f>
        <v>18.771263999999999</v>
      </c>
      <c r="E280" s="85">
        <f>H82</f>
        <v>648</v>
      </c>
    </row>
    <row r="281" spans="2:8" ht="37.5" x14ac:dyDescent="0.3">
      <c r="B281" s="48" t="s">
        <v>261</v>
      </c>
      <c r="C281" s="85">
        <f>H12</f>
        <v>32807.982420502587</v>
      </c>
      <c r="D281" s="85">
        <f>H75-H86</f>
        <v>10580.686235498804</v>
      </c>
      <c r="E281" s="85">
        <f>H80-H82</f>
        <v>14210.784679422992</v>
      </c>
    </row>
    <row r="282" spans="2:8" x14ac:dyDescent="0.3">
      <c r="B282" s="48" t="s">
        <v>262</v>
      </c>
      <c r="C282" s="85">
        <f>H121</f>
        <v>177.63480849278739</v>
      </c>
      <c r="D282" s="85">
        <f>H107</f>
        <v>3491.6264577146057</v>
      </c>
      <c r="E282" s="85">
        <f>H109</f>
        <v>7105.3923397114959</v>
      </c>
    </row>
    <row r="283" spans="2:8" x14ac:dyDescent="0.3">
      <c r="B283" s="48" t="s">
        <v>263</v>
      </c>
      <c r="C283" s="85">
        <f>H127</f>
        <v>100.65972481257953</v>
      </c>
      <c r="D283" s="85">
        <f>H135</f>
        <v>3197.9782774033879</v>
      </c>
      <c r="E283" s="85">
        <f>H129</f>
        <v>6039.5834887547717</v>
      </c>
    </row>
    <row r="284" spans="2:8" x14ac:dyDescent="0.3">
      <c r="B284" s="48" t="s">
        <v>211</v>
      </c>
      <c r="C284" s="85">
        <f>H128</f>
        <v>76.97508368020786</v>
      </c>
      <c r="D284" s="85">
        <f>H133</f>
        <v>564.3491077770683</v>
      </c>
      <c r="E284" s="85">
        <f>H130</f>
        <v>1065.8088509567242</v>
      </c>
      <c r="G284" s="84"/>
    </row>
    <row r="285" spans="2:8" x14ac:dyDescent="0.3">
      <c r="B285" s="48" t="s">
        <v>272</v>
      </c>
      <c r="C285" s="85">
        <f>C281-C282</f>
        <v>32630.347612009798</v>
      </c>
      <c r="D285" s="85">
        <f>D281-D282</f>
        <v>7089.0597777841986</v>
      </c>
      <c r="E285" s="85">
        <f>E281-E282</f>
        <v>7105.3923397114959</v>
      </c>
      <c r="G285" s="84"/>
      <c r="H285" s="49"/>
    </row>
    <row r="286" spans="2:8" x14ac:dyDescent="0.3">
      <c r="B286" s="48" t="s">
        <v>264</v>
      </c>
      <c r="C286" s="85">
        <f>C285-C288</f>
        <v>32377.501900956693</v>
      </c>
      <c r="D286" s="85">
        <f>H154</f>
        <v>656.15964841005166</v>
      </c>
      <c r="E286" s="85">
        <f>H155</f>
        <v>984.2394726150776</v>
      </c>
    </row>
    <row r="287" spans="2:8" x14ac:dyDescent="0.3">
      <c r="B287" s="48" t="s">
        <v>267</v>
      </c>
      <c r="C287" s="85">
        <f>C286</f>
        <v>32377.501900956693</v>
      </c>
      <c r="D287" s="85">
        <f>(C287*H34)/10^3</f>
        <v>323.7750190095669</v>
      </c>
      <c r="E287" s="85">
        <f>(C287*H33)/10^3</f>
        <v>323.7750190095669</v>
      </c>
      <c r="G287" s="84"/>
    </row>
    <row r="288" spans="2:8" x14ac:dyDescent="0.3">
      <c r="B288" s="48" t="s">
        <v>265</v>
      </c>
      <c r="C288" s="85">
        <f>H162</f>
        <v>252.84571105310692</v>
      </c>
      <c r="D288" s="85">
        <f>D289+D290</f>
        <v>1341.5922631678761</v>
      </c>
      <c r="E288" s="85">
        <f>H161</f>
        <v>1769.9199773717485</v>
      </c>
    </row>
    <row r="289" spans="2:7" ht="37.5" x14ac:dyDescent="0.3">
      <c r="B289" s="48" t="s">
        <v>266</v>
      </c>
      <c r="C289" s="85">
        <f>H170</f>
        <v>31.858559592691471</v>
      </c>
      <c r="D289" s="85">
        <f>H178</f>
        <v>1230.5050057081157</v>
      </c>
      <c r="E289" s="85">
        <f>H169</f>
        <v>1592.9279796345736</v>
      </c>
    </row>
    <row r="290" spans="2:7" x14ac:dyDescent="0.3">
      <c r="B290" s="48" t="s">
        <v>211</v>
      </c>
      <c r="C290" s="85">
        <f>H172</f>
        <v>220.98715146041545</v>
      </c>
      <c r="D290" s="85">
        <f>H184</f>
        <v>111.08725745976042</v>
      </c>
      <c r="E290" s="85">
        <f>H180</f>
        <v>176.99199773717487</v>
      </c>
    </row>
    <row r="291" spans="2:7" x14ac:dyDescent="0.3">
      <c r="B291" s="48" t="s">
        <v>268</v>
      </c>
      <c r="C291" s="85">
        <f>C283+C289</f>
        <v>132.518284405271</v>
      </c>
      <c r="D291" s="85">
        <f>D283+D289</f>
        <v>4428.4832831115036</v>
      </c>
      <c r="E291" s="85">
        <f>E283+E289</f>
        <v>7632.5114683893453</v>
      </c>
      <c r="G291" s="84"/>
    </row>
    <row r="292" spans="2:7" x14ac:dyDescent="0.3">
      <c r="B292" s="48" t="s">
        <v>273</v>
      </c>
      <c r="C292" s="85">
        <f>H223</f>
        <v>1488.6571386869075</v>
      </c>
      <c r="D292" s="89" t="s">
        <v>63</v>
      </c>
      <c r="E292" s="90"/>
    </row>
    <row r="293" spans="2:7" x14ac:dyDescent="0.3">
      <c r="B293" s="48" t="s">
        <v>269</v>
      </c>
      <c r="C293" s="85">
        <f>H238</f>
        <v>37.127112685741281</v>
      </c>
      <c r="D293" s="85">
        <f>H243</f>
        <v>37.127112685741281</v>
      </c>
      <c r="E293" s="85">
        <f>H244</f>
        <v>185.6355634287064</v>
      </c>
    </row>
    <row r="294" spans="2:7" x14ac:dyDescent="0.3">
      <c r="B294" s="48" t="s">
        <v>270</v>
      </c>
      <c r="C294" s="85">
        <f>H239</f>
        <v>93.902514580842819</v>
      </c>
      <c r="D294" s="85">
        <f>D295+D296</f>
        <v>2805.7616887741292</v>
      </c>
      <c r="E294" s="85">
        <f>E295+E296</f>
        <v>4695.1257290421408</v>
      </c>
    </row>
    <row r="295" spans="2:7" x14ac:dyDescent="0.3">
      <c r="B295" s="48" t="s">
        <v>271</v>
      </c>
      <c r="C295" s="85">
        <f>H256</f>
        <v>17.103590852982787</v>
      </c>
      <c r="D295" s="85">
        <f>H258</f>
        <v>2652.1638413184091</v>
      </c>
      <c r="E295" s="85">
        <f>H255</f>
        <v>4225.613156137927</v>
      </c>
    </row>
    <row r="296" spans="2:7" x14ac:dyDescent="0.3">
      <c r="B296" s="48" t="s">
        <v>211</v>
      </c>
      <c r="C296" s="85">
        <f>H261</f>
        <v>76.798923727860029</v>
      </c>
      <c r="D296" s="85">
        <f>H262</f>
        <v>153.59784745572006</v>
      </c>
      <c r="E296" s="85">
        <f>H263</f>
        <v>469.51257290421381</v>
      </c>
    </row>
    <row r="297" spans="2:7" x14ac:dyDescent="0.3">
      <c r="B297" s="48" t="s">
        <v>260</v>
      </c>
      <c r="C297" s="85">
        <f>C273</f>
        <v>411.88827155422462</v>
      </c>
      <c r="D297" s="85">
        <f>D273</f>
        <v>866.16132537829003</v>
      </c>
      <c r="E297" s="85">
        <f>E273</f>
        <v>1897.9489850268192</v>
      </c>
    </row>
    <row r="298" spans="2:7" x14ac:dyDescent="0.3">
      <c r="B298" s="86"/>
      <c r="C298" s="87"/>
      <c r="D298" s="87"/>
      <c r="E298" s="87"/>
    </row>
  </sheetData>
  <mergeCells count="16">
    <mergeCell ref="R41:S41"/>
    <mergeCell ref="R42:S42"/>
    <mergeCell ref="R43:S43"/>
    <mergeCell ref="D292:E292"/>
    <mergeCell ref="R35:S35"/>
    <mergeCell ref="R36:S36"/>
    <mergeCell ref="R37:S37"/>
    <mergeCell ref="R38:S38"/>
    <mergeCell ref="R39:S39"/>
    <mergeCell ref="R40:S40"/>
    <mergeCell ref="M21:S21"/>
    <mergeCell ref="M13:Q13"/>
    <mergeCell ref="N14:Q14"/>
    <mergeCell ref="N15:Q15"/>
    <mergeCell ref="N16:Q16"/>
    <mergeCell ref="N17:Q17"/>
  </mergeCells>
  <pageMargins left="0.7" right="0.7" top="0.75" bottom="0.75" header="0.3" footer="0.3"/>
  <ignoredErrors>
    <ignoredError sqref="C280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DCEA-6938-42A3-852C-C18D92D02DEF}">
  <dimension ref="A1:T297"/>
  <sheetViews>
    <sheetView topLeftCell="A257" zoomScale="79" zoomScaleNormal="90" workbookViewId="0">
      <selection activeCell="H79" sqref="H79"/>
    </sheetView>
  </sheetViews>
  <sheetFormatPr defaultRowHeight="18.75" x14ac:dyDescent="0.3"/>
  <cols>
    <col min="1" max="1" width="5" style="1" bestFit="1" customWidth="1"/>
    <col min="2" max="2" width="36.5703125" style="4" customWidth="1"/>
    <col min="3" max="3" width="20.5703125" style="4" customWidth="1"/>
    <col min="4" max="5" width="17.42578125" style="4" customWidth="1"/>
    <col min="6" max="6" width="16.7109375" style="4" customWidth="1"/>
    <col min="7" max="8" width="14.5703125" style="4" customWidth="1"/>
    <col min="9" max="9" width="9.5703125" style="4" customWidth="1"/>
    <col min="10" max="11" width="9.140625" style="4" customWidth="1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2.7109375" style="4" customWidth="1"/>
    <col min="18" max="18" width="9.140625" style="4" customWidth="1"/>
    <col min="19" max="19" width="17.85546875" style="4" customWidth="1"/>
    <col min="20" max="20" width="19" style="4" customWidth="1"/>
    <col min="21" max="21" width="6.7109375" style="4" customWidth="1"/>
    <col min="22" max="22" width="15.28515625" style="4" customWidth="1"/>
    <col min="23" max="23" width="12.85546875" style="4" customWidth="1"/>
    <col min="24" max="24" width="14.140625" style="4" customWidth="1"/>
    <col min="25" max="25" width="11.85546875" style="4" customWidth="1"/>
    <col min="26" max="26" width="10.28515625" style="4" customWidth="1"/>
    <col min="27" max="16384" width="9.140625" style="4"/>
  </cols>
  <sheetData>
    <row r="1" spans="1:17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7" x14ac:dyDescent="0.3">
      <c r="B2" s="5"/>
    </row>
    <row r="3" spans="1:17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7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7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7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7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7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7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17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17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1">
        <f>'3rd Iteration'!C271</f>
        <v>414.04139961384999</v>
      </c>
      <c r="I11" s="10" t="s">
        <v>7</v>
      </c>
    </row>
    <row r="12" spans="1:17" ht="23.25" thickBot="1" x14ac:dyDescent="0.35">
      <c r="A12" s="8" t="s">
        <v>10</v>
      </c>
      <c r="B12" s="9" t="s">
        <v>255</v>
      </c>
      <c r="C12" s="10"/>
      <c r="D12" s="10"/>
      <c r="E12" s="10"/>
      <c r="H12" s="21">
        <f>H10+H11</f>
        <v>32814.041399613852</v>
      </c>
      <c r="I12" s="10" t="s">
        <v>7</v>
      </c>
    </row>
    <row r="13" spans="1:17" ht="19.5" thickBot="1" x14ac:dyDescent="0.35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</row>
    <row r="14" spans="1:17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</row>
    <row r="15" spans="1:17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</row>
    <row r="16" spans="1:17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</row>
    <row r="17" spans="1:19" ht="19.5" thickBot="1" x14ac:dyDescent="0.35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</row>
    <row r="18" spans="1:19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</row>
    <row r="19" spans="1:19" ht="19.5" thickBot="1" x14ac:dyDescent="0.35">
      <c r="A19" s="1" t="s">
        <v>17</v>
      </c>
      <c r="B19" s="4" t="s">
        <v>18</v>
      </c>
      <c r="H19" s="33">
        <f>3%</f>
        <v>0.03</v>
      </c>
    </row>
    <row r="20" spans="1:19" ht="23.25" thickBot="1" x14ac:dyDescent="0.35">
      <c r="B20" s="4" t="s">
        <v>218</v>
      </c>
      <c r="H20" s="38">
        <v>2.65</v>
      </c>
      <c r="I20" s="4" t="s">
        <v>174</v>
      </c>
    </row>
    <row r="21" spans="1:19" ht="19.5" thickBot="1" x14ac:dyDescent="0.35">
      <c r="B21" s="4" t="s">
        <v>219</v>
      </c>
      <c r="H21" s="33">
        <f>0.01</f>
        <v>0.01</v>
      </c>
      <c r="M21" s="88"/>
      <c r="N21" s="88"/>
      <c r="O21" s="88"/>
      <c r="P21" s="88"/>
      <c r="Q21" s="88"/>
      <c r="R21" s="88"/>
      <c r="S21" s="88"/>
    </row>
    <row r="22" spans="1:19" ht="19.5" thickBot="1" x14ac:dyDescent="0.35">
      <c r="A22" s="1">
        <v>4</v>
      </c>
      <c r="B22" s="5" t="s">
        <v>19</v>
      </c>
      <c r="M22" s="57"/>
      <c r="N22" s="57"/>
      <c r="O22" s="57"/>
      <c r="P22" s="57"/>
      <c r="Q22" s="57"/>
      <c r="R22" s="57"/>
      <c r="S22" s="57"/>
    </row>
    <row r="23" spans="1:19" ht="19.5" thickBot="1" x14ac:dyDescent="0.35">
      <c r="A23" s="1" t="s">
        <v>6</v>
      </c>
      <c r="B23" s="5" t="s">
        <v>20</v>
      </c>
      <c r="H23" s="33">
        <f>0.04</f>
        <v>0.04</v>
      </c>
      <c r="R23" s="57"/>
      <c r="S23" s="57"/>
    </row>
    <row r="24" spans="1:19" ht="19.5" thickBot="1" x14ac:dyDescent="0.35">
      <c r="A24" s="1" t="s">
        <v>8</v>
      </c>
      <c r="B24" s="5" t="s">
        <v>21</v>
      </c>
      <c r="H24" s="33">
        <v>0.05</v>
      </c>
      <c r="R24" s="57"/>
      <c r="S24" s="57"/>
    </row>
    <row r="25" spans="1:19" ht="19.5" thickBot="1" x14ac:dyDescent="0.35">
      <c r="B25" s="5" t="s">
        <v>215</v>
      </c>
      <c r="H25" s="35">
        <f>0.85</f>
        <v>0.85</v>
      </c>
      <c r="R25" s="57"/>
      <c r="S25" s="57"/>
    </row>
    <row r="26" spans="1:19" ht="19.5" thickBot="1" x14ac:dyDescent="0.35">
      <c r="B26" s="5" t="s">
        <v>216</v>
      </c>
      <c r="H26" s="35">
        <f>0.06</f>
        <v>0.06</v>
      </c>
      <c r="R26" s="57"/>
      <c r="S26" s="57"/>
    </row>
    <row r="27" spans="1:19" ht="19.5" thickBot="1" x14ac:dyDescent="0.35">
      <c r="A27" s="1" t="s">
        <v>10</v>
      </c>
      <c r="B27" s="5" t="s">
        <v>22</v>
      </c>
      <c r="H27" s="35">
        <f>0.9</f>
        <v>0.9</v>
      </c>
      <c r="R27" s="57"/>
      <c r="S27" s="57"/>
    </row>
    <row r="28" spans="1:19" ht="19.5" thickBot="1" x14ac:dyDescent="0.35">
      <c r="A28" s="1" t="s">
        <v>15</v>
      </c>
      <c r="B28" s="5" t="s">
        <v>23</v>
      </c>
      <c r="H28" s="34">
        <v>0.05</v>
      </c>
      <c r="R28" s="57"/>
      <c r="S28" s="57"/>
    </row>
    <row r="29" spans="1:19" ht="19.5" thickBot="1" x14ac:dyDescent="0.35">
      <c r="A29" s="1" t="s">
        <v>17</v>
      </c>
      <c r="B29" s="5" t="s">
        <v>24</v>
      </c>
      <c r="H29" s="11">
        <v>1</v>
      </c>
      <c r="R29" s="57"/>
      <c r="S29" s="57"/>
    </row>
    <row r="30" spans="1:19" ht="19.5" thickBot="1" x14ac:dyDescent="0.35">
      <c r="A30" s="1" t="s">
        <v>25</v>
      </c>
      <c r="B30" s="5" t="s">
        <v>26</v>
      </c>
      <c r="H30" s="12">
        <f>0.65</f>
        <v>0.65</v>
      </c>
      <c r="R30" s="57"/>
      <c r="S30" s="57"/>
    </row>
    <row r="31" spans="1:19" ht="21" thickBot="1" x14ac:dyDescent="0.4">
      <c r="A31" s="1" t="s">
        <v>27</v>
      </c>
      <c r="B31" s="5" t="s">
        <v>28</v>
      </c>
      <c r="H31" s="11">
        <f>0.68</f>
        <v>0.68</v>
      </c>
      <c r="R31" s="57"/>
      <c r="S31" s="57"/>
    </row>
    <row r="32" spans="1:19" ht="19.5" thickBot="1" x14ac:dyDescent="0.35">
      <c r="A32" s="1">
        <v>5</v>
      </c>
      <c r="B32" s="5" t="s">
        <v>29</v>
      </c>
      <c r="R32" s="57"/>
      <c r="S32" s="57"/>
    </row>
    <row r="33" spans="1:19" ht="24" thickBot="1" x14ac:dyDescent="0.4">
      <c r="A33" s="1" t="s">
        <v>6</v>
      </c>
      <c r="B33" s="4" t="s">
        <v>12</v>
      </c>
      <c r="H33" s="32">
        <v>10</v>
      </c>
      <c r="I33" s="4" t="s">
        <v>9</v>
      </c>
      <c r="R33" s="57"/>
      <c r="S33" s="57"/>
    </row>
    <row r="34" spans="1:19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  <c r="R34" s="57"/>
      <c r="S34" s="57"/>
    </row>
    <row r="35" spans="1:19" ht="19.5" thickBot="1" x14ac:dyDescent="0.35">
      <c r="B35" s="5" t="s">
        <v>257</v>
      </c>
      <c r="R35" s="88"/>
      <c r="S35" s="88"/>
    </row>
    <row r="36" spans="1:19" ht="24" thickBot="1" x14ac:dyDescent="0.4">
      <c r="A36" s="1" t="s">
        <v>10</v>
      </c>
      <c r="B36" s="4" t="s">
        <v>12</v>
      </c>
      <c r="H36" s="32">
        <v>20</v>
      </c>
      <c r="I36" s="4" t="s">
        <v>9</v>
      </c>
      <c r="R36" s="88"/>
      <c r="S36" s="88"/>
    </row>
    <row r="37" spans="1:19" ht="21" thickBot="1" x14ac:dyDescent="0.4">
      <c r="A37" s="1" t="s">
        <v>15</v>
      </c>
      <c r="B37" s="4" t="s">
        <v>13</v>
      </c>
      <c r="H37" s="32">
        <v>30</v>
      </c>
      <c r="I37" s="4" t="str">
        <f>I36</f>
        <v>g/m3</v>
      </c>
      <c r="R37" s="88"/>
      <c r="S37" s="88"/>
    </row>
    <row r="38" spans="1:19" x14ac:dyDescent="0.3">
      <c r="A38" s="1">
        <v>6</v>
      </c>
      <c r="B38" s="5" t="s">
        <v>30</v>
      </c>
      <c r="R38" s="88"/>
      <c r="S38" s="88"/>
    </row>
    <row r="39" spans="1:19" ht="19.5" thickBot="1" x14ac:dyDescent="0.35">
      <c r="B39" s="5" t="s">
        <v>31</v>
      </c>
      <c r="R39" s="88"/>
      <c r="S39" s="88"/>
    </row>
    <row r="40" spans="1:19" ht="19.5" thickBot="1" x14ac:dyDescent="0.35">
      <c r="A40" s="1" t="s">
        <v>6</v>
      </c>
      <c r="B40" s="5" t="s">
        <v>32</v>
      </c>
      <c r="H40" s="33">
        <f>0.33</f>
        <v>0.33</v>
      </c>
      <c r="R40" s="88"/>
      <c r="S40" s="88"/>
    </row>
    <row r="41" spans="1:19" ht="19.5" thickBot="1" x14ac:dyDescent="0.35">
      <c r="A41" s="1" t="s">
        <v>8</v>
      </c>
      <c r="B41" s="5" t="s">
        <v>33</v>
      </c>
      <c r="H41" s="33">
        <f>0.5</f>
        <v>0.5</v>
      </c>
      <c r="R41" s="88"/>
      <c r="S41" s="88"/>
    </row>
    <row r="42" spans="1:19" ht="21" thickBot="1" x14ac:dyDescent="0.4">
      <c r="A42" s="1" t="s">
        <v>10</v>
      </c>
      <c r="B42" s="5" t="s">
        <v>34</v>
      </c>
      <c r="H42" s="12">
        <f>0.85</f>
        <v>0.85</v>
      </c>
      <c r="R42" s="88"/>
      <c r="S42" s="88"/>
    </row>
    <row r="43" spans="1:19" x14ac:dyDescent="0.3">
      <c r="A43" s="1">
        <v>7</v>
      </c>
      <c r="B43" s="5" t="s">
        <v>35</v>
      </c>
      <c r="R43" s="88"/>
      <c r="S43" s="88"/>
    </row>
    <row r="44" spans="1:19" ht="19.5" thickBot="1" x14ac:dyDescent="0.35">
      <c r="B44" s="5" t="s">
        <v>36</v>
      </c>
    </row>
    <row r="45" spans="1:19" ht="21" thickBot="1" x14ac:dyDescent="0.4">
      <c r="A45" s="1" t="s">
        <v>6</v>
      </c>
      <c r="B45" s="5" t="s">
        <v>37</v>
      </c>
      <c r="H45" s="11">
        <f>0.8</f>
        <v>0.8</v>
      </c>
    </row>
    <row r="46" spans="1:19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19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19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'1st Iteration'!H54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0.9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31">
        <f>'3rd Iteration'!D271</f>
        <v>871.40152105212087</v>
      </c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10591.401521052121</v>
      </c>
      <c r="I75" s="4" t="s">
        <v>63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31">
        <f>'3rd Iteration'!E271</f>
        <v>1910.3098335551576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14870.309833555159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14222.309833555159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3488.9679848271999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7083.6622722249213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7111.1549167775793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7111.1549167775793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9963.1075884819566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6044.4816792609427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3899.1859092210134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177.77887291943949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0.54831964074099093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100.74136132101572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77.037511598423777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6044.4816792609427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1066.6732375166366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13846.153846153844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7330.9492398392413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564.7580870915715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31767.446705970055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3200.2958268522398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32814.041399613852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7083.6622722249213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215.87289983452877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2786.884332497727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3483.6054156221585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656.28082799227695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984.42124198841555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2201.6386226732043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2752.048278341505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1767.6270363530894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252.51814805044131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1590.8643327177804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31.817286654355609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220.70086139608571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1590.8643327177804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49999.999999999993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1228.910879737831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176.76270363530898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800.9153318077806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502.68649885583545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110.94334330966535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0" ht="21" thickBot="1" x14ac:dyDescent="0.4">
      <c r="B193" s="4" t="s">
        <v>118</v>
      </c>
      <c r="H193" s="21">
        <f>H129+H174</f>
        <v>7635.3460119787233</v>
      </c>
      <c r="I193" s="4" t="s">
        <v>63</v>
      </c>
    </row>
    <row r="194" spans="1:20" ht="23.25" thickBot="1" x14ac:dyDescent="0.35">
      <c r="B194" s="4" t="s">
        <v>143</v>
      </c>
      <c r="H194" s="21">
        <f>(H129/(H125*H126*H68))+(H174/(H165*H167*H68))</f>
        <v>132.55864797537131</v>
      </c>
      <c r="I194" s="4" t="s">
        <v>7</v>
      </c>
    </row>
    <row r="195" spans="1:20" ht="21" thickBot="1" x14ac:dyDescent="0.4">
      <c r="A195" s="1" t="s">
        <v>91</v>
      </c>
      <c r="B195" s="4" t="s">
        <v>144</v>
      </c>
    </row>
    <row r="196" spans="1:20" ht="21" thickBot="1" x14ac:dyDescent="0.4">
      <c r="B196" s="4" t="s">
        <v>145</v>
      </c>
      <c r="H196" s="21">
        <f>(H129*H122)+(H174*H140)</f>
        <v>4586.9994890120861</v>
      </c>
      <c r="I196" s="4" t="s">
        <v>63</v>
      </c>
    </row>
    <row r="197" spans="1:20" ht="21" thickBot="1" x14ac:dyDescent="0.4">
      <c r="B197" s="4" t="s">
        <v>314</v>
      </c>
      <c r="H197" s="22">
        <f>H196/H193</f>
        <v>0.60075856180135978</v>
      </c>
    </row>
    <row r="198" spans="1:20" ht="19.5" thickBot="1" x14ac:dyDescent="0.35">
      <c r="A198" s="1" t="s">
        <v>122</v>
      </c>
      <c r="B198" s="4" t="s">
        <v>147</v>
      </c>
    </row>
    <row r="199" spans="1:20" ht="21" thickBot="1" x14ac:dyDescent="0.4">
      <c r="B199" s="4" t="s">
        <v>145</v>
      </c>
      <c r="H199" s="21">
        <f>H196*(1-H188)</f>
        <v>1834.7997956048346</v>
      </c>
      <c r="I199" s="4" t="s">
        <v>63</v>
      </c>
    </row>
    <row r="200" spans="1:20" ht="19.5" thickBot="1" x14ac:dyDescent="0.35">
      <c r="A200" s="1" t="s">
        <v>95</v>
      </c>
      <c r="B200" s="4" t="s">
        <v>148</v>
      </c>
    </row>
    <row r="201" spans="1:20" ht="19.5" thickBot="1" x14ac:dyDescent="0.35">
      <c r="B201" s="4" t="s">
        <v>149</v>
      </c>
      <c r="H201" s="21">
        <f>(H129/H125)</f>
        <v>100741.36132101572</v>
      </c>
      <c r="I201" s="4" t="s">
        <v>63</v>
      </c>
      <c r="K201" s="4" t="s">
        <v>150</v>
      </c>
    </row>
    <row r="202" spans="1:20" ht="19.5" thickBot="1" x14ac:dyDescent="0.35">
      <c r="B202" s="4" t="s">
        <v>151</v>
      </c>
      <c r="H202" s="21">
        <f>H174/H165</f>
        <v>31817.286654355605</v>
      </c>
      <c r="I202" s="4" t="s">
        <v>63</v>
      </c>
      <c r="K202" s="4" t="s">
        <v>152</v>
      </c>
    </row>
    <row r="204" spans="1:20" ht="19.5" thickBot="1" x14ac:dyDescent="0.35">
      <c r="B204" s="4" t="s">
        <v>153</v>
      </c>
    </row>
    <row r="205" spans="1:20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</row>
    <row r="206" spans="1:20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</row>
    <row r="207" spans="1:20" ht="21" thickBot="1" x14ac:dyDescent="0.4">
      <c r="B207" s="4" t="s">
        <v>157</v>
      </c>
      <c r="H207" s="21">
        <f>H178+H135</f>
        <v>4429.206706590071</v>
      </c>
      <c r="I207" s="4" t="s">
        <v>63</v>
      </c>
      <c r="J207" s="4" t="s">
        <v>158</v>
      </c>
      <c r="Q207" s="24"/>
      <c r="R207" s="24"/>
      <c r="S207" s="24"/>
      <c r="T207" s="24"/>
    </row>
    <row r="208" spans="1:20" ht="21" thickBot="1" x14ac:dyDescent="0.4">
      <c r="B208" s="4" t="s">
        <v>85</v>
      </c>
      <c r="H208" s="21">
        <f>H207*(1-H188)</f>
        <v>1771.6826826360284</v>
      </c>
      <c r="I208" s="4" t="s">
        <v>63</v>
      </c>
      <c r="J208" s="4" t="s">
        <v>159</v>
      </c>
      <c r="Q208" s="24"/>
      <c r="R208" s="24"/>
      <c r="S208" s="24"/>
      <c r="T208" s="24"/>
    </row>
    <row r="209" spans="1:20" ht="23.25" thickBot="1" x14ac:dyDescent="0.35">
      <c r="B209" s="4" t="s">
        <v>160</v>
      </c>
      <c r="H209" s="31">
        <f>$H$194</f>
        <v>132.55864797537131</v>
      </c>
      <c r="I209" s="4" t="s">
        <v>7</v>
      </c>
      <c r="J209" s="4" t="s">
        <v>161</v>
      </c>
      <c r="Q209" s="24"/>
      <c r="R209" s="24"/>
      <c r="S209" s="24"/>
      <c r="T209" s="24"/>
    </row>
    <row r="210" spans="1:20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</row>
    <row r="211" spans="1:20" ht="21" thickBot="1" x14ac:dyDescent="0.4">
      <c r="B211" s="4" t="s">
        <v>163</v>
      </c>
      <c r="H211" s="21">
        <f>H205*((H207-H208)/(1+(H206*H210)))</f>
        <v>132.87620119770213</v>
      </c>
      <c r="I211" s="4" t="s">
        <v>63</v>
      </c>
      <c r="J211" s="4" t="s">
        <v>164</v>
      </c>
      <c r="Q211" s="24"/>
      <c r="R211" s="24"/>
      <c r="S211" s="24"/>
      <c r="T211" s="24"/>
    </row>
    <row r="212" spans="1:20" ht="24" thickBot="1" x14ac:dyDescent="0.4">
      <c r="B212" s="4" t="s">
        <v>165</v>
      </c>
      <c r="H212" s="21">
        <f>((H207-H208)-(1.42*H211))*0.35</f>
        <v>864.09393638865686</v>
      </c>
      <c r="I212" s="4" t="s">
        <v>7</v>
      </c>
      <c r="Q212" s="24"/>
      <c r="R212" s="24"/>
      <c r="S212" s="24"/>
      <c r="T212" s="24"/>
    </row>
    <row r="213" spans="1:20" ht="24" thickBot="1" x14ac:dyDescent="0.4">
      <c r="B213" s="4" t="s">
        <v>166</v>
      </c>
      <c r="H213" s="21">
        <f>H212/0.65</f>
        <v>1329.3752867517796</v>
      </c>
      <c r="I213" s="4" t="s">
        <v>7</v>
      </c>
      <c r="J213" s="4" t="s">
        <v>167</v>
      </c>
      <c r="Q213" s="24"/>
      <c r="R213" s="24"/>
      <c r="S213" s="24"/>
      <c r="T213" s="24"/>
    </row>
    <row r="214" spans="1:20" ht="23.25" thickBot="1" x14ac:dyDescent="0.35">
      <c r="B214" s="4" t="s">
        <v>168</v>
      </c>
      <c r="H214" s="21">
        <f>H213*1.12</f>
        <v>1488.9003211619934</v>
      </c>
      <c r="I214" s="4" t="s">
        <v>63</v>
      </c>
      <c r="J214" s="4" t="s">
        <v>245</v>
      </c>
      <c r="Q214" s="24"/>
      <c r="R214" s="24"/>
      <c r="S214" s="24"/>
      <c r="T214" s="24"/>
    </row>
    <row r="216" spans="1:20" x14ac:dyDescent="0.3">
      <c r="A216" s="1" t="s">
        <v>169</v>
      </c>
      <c r="B216" s="4" t="s">
        <v>170</v>
      </c>
    </row>
    <row r="217" spans="1:20" ht="21" thickBot="1" x14ac:dyDescent="0.4">
      <c r="B217" s="4" t="s">
        <v>171</v>
      </c>
    </row>
    <row r="218" spans="1:20" ht="19.5" thickBot="1" x14ac:dyDescent="0.35">
      <c r="B218" s="4" t="s">
        <v>172</v>
      </c>
      <c r="H218" s="21">
        <f>H193-H196</f>
        <v>3048.3465229666372</v>
      </c>
      <c r="I218" s="4" t="s">
        <v>63</v>
      </c>
    </row>
    <row r="219" spans="1:20" ht="21" thickBot="1" x14ac:dyDescent="0.4">
      <c r="B219" s="4" t="s">
        <v>173</v>
      </c>
      <c r="H219" s="21">
        <f>H218+(H196-H199)</f>
        <v>5800.5462163738885</v>
      </c>
      <c r="I219" s="4" t="s">
        <v>63</v>
      </c>
    </row>
    <row r="221" spans="1:20" ht="19.5" thickBot="1" x14ac:dyDescent="0.35">
      <c r="B221" s="4" t="s">
        <v>175</v>
      </c>
    </row>
    <row r="222" spans="1:20" ht="19.5" thickBot="1" x14ac:dyDescent="0.35">
      <c r="B222" s="4" t="s">
        <v>176</v>
      </c>
      <c r="H222" s="21">
        <f>H201+H202</f>
        <v>132558.64797537134</v>
      </c>
      <c r="I222" s="4" t="s">
        <v>63</v>
      </c>
    </row>
    <row r="223" spans="1:20" ht="19.5" thickBot="1" x14ac:dyDescent="0.35">
      <c r="B223" s="4" t="s">
        <v>177</v>
      </c>
      <c r="H223" s="21">
        <f>H214</f>
        <v>1488.9003211619934</v>
      </c>
      <c r="I223" s="4" t="s">
        <v>63</v>
      </c>
    </row>
    <row r="224" spans="1:20" ht="19.5" thickBot="1" x14ac:dyDescent="0.35">
      <c r="B224" s="4" t="s">
        <v>178</v>
      </c>
      <c r="H224" s="21">
        <f>H222-H223</f>
        <v>131069.74765420934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83.66012959295324</v>
      </c>
      <c r="I234" s="4" t="s">
        <v>63</v>
      </c>
    </row>
    <row r="235" spans="1:9" ht="21" thickBot="1" x14ac:dyDescent="0.4">
      <c r="B235" s="4" t="s">
        <v>188</v>
      </c>
      <c r="H235" s="21">
        <f>H234</f>
        <v>83.66012959295324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5716.8860867809353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16.732025918590647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114.3377217356187</v>
      </c>
      <c r="I239" s="4" t="s">
        <v>7</v>
      </c>
    </row>
    <row r="241" spans="1:9" ht="19.5" thickBot="1" x14ac:dyDescent="0.35">
      <c r="A241" s="1" t="s">
        <v>192</v>
      </c>
      <c r="B241" s="4" t="s">
        <v>193</v>
      </c>
    </row>
    <row r="242" spans="1:9" ht="23.25" thickBot="1" x14ac:dyDescent="0.35">
      <c r="B242" s="4" t="s">
        <v>106</v>
      </c>
      <c r="H242" s="21">
        <f>H238</f>
        <v>16.732025918590647</v>
      </c>
      <c r="I242" s="4" t="s">
        <v>7</v>
      </c>
    </row>
    <row r="243" spans="1:9" ht="21" thickBot="1" x14ac:dyDescent="0.4">
      <c r="B243" s="4" t="s">
        <v>194</v>
      </c>
      <c r="H243" s="21">
        <f>(H242*H189)/(10^3)</f>
        <v>16.732025918590647</v>
      </c>
      <c r="I243" s="4" t="s">
        <v>63</v>
      </c>
    </row>
    <row r="244" spans="1:9" ht="21" thickBot="1" x14ac:dyDescent="0.4">
      <c r="B244" s="4" t="s">
        <v>188</v>
      </c>
      <c r="H244" s="21">
        <f>H235</f>
        <v>83.66012959295324</v>
      </c>
      <c r="I244" s="4" t="s">
        <v>63</v>
      </c>
    </row>
    <row r="246" spans="1:9" x14ac:dyDescent="0.3">
      <c r="A246" s="1" t="s">
        <v>25</v>
      </c>
      <c r="B246" s="4" t="s">
        <v>195</v>
      </c>
    </row>
    <row r="247" spans="1:9" ht="19.5" thickBot="1" x14ac:dyDescent="0.35">
      <c r="A247" s="1" t="s">
        <v>87</v>
      </c>
      <c r="B247" s="4" t="s">
        <v>196</v>
      </c>
    </row>
    <row r="248" spans="1:9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9" ht="19.5" thickBot="1" x14ac:dyDescent="0.35">
      <c r="B249" s="5" t="s">
        <v>55</v>
      </c>
      <c r="H249" s="44">
        <f>$H$62</f>
        <v>1.123</v>
      </c>
    </row>
    <row r="250" spans="1:9" ht="19.5" thickBot="1" x14ac:dyDescent="0.35">
      <c r="B250" s="5" t="s">
        <v>56</v>
      </c>
      <c r="H250" s="16">
        <f>$H$63</f>
        <v>0.9</v>
      </c>
    </row>
    <row r="251" spans="1:9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9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9" ht="19.5" thickBot="1" x14ac:dyDescent="0.35">
      <c r="A254" s="1" t="s">
        <v>115</v>
      </c>
      <c r="B254" s="4" t="s">
        <v>198</v>
      </c>
    </row>
    <row r="255" spans="1:9" ht="21" thickBot="1" x14ac:dyDescent="0.4">
      <c r="B255" s="4" t="s">
        <v>203</v>
      </c>
      <c r="H255" s="21">
        <f>H236*H250</f>
        <v>5145.1974781028421</v>
      </c>
      <c r="I255" s="4" t="s">
        <v>63</v>
      </c>
    </row>
    <row r="256" spans="1:9" ht="23.25" thickBot="1" x14ac:dyDescent="0.35">
      <c r="B256" s="4" t="s">
        <v>223</v>
      </c>
      <c r="H256" s="21">
        <f>H255/(H249*H248*1000)</f>
        <v>20.825700146129854</v>
      </c>
      <c r="I256" s="4" t="s">
        <v>7</v>
      </c>
    </row>
    <row r="257" spans="1:9" ht="24" thickBot="1" x14ac:dyDescent="0.4">
      <c r="B257" s="4" t="s">
        <v>135</v>
      </c>
      <c r="H257" s="21">
        <f>(H255/H256)*(10^3)*H95*H96*H97</f>
        <v>155064.7384</v>
      </c>
      <c r="I257" s="4" t="s">
        <v>9</v>
      </c>
    </row>
    <row r="258" spans="1:9" ht="21" thickBot="1" x14ac:dyDescent="0.4">
      <c r="B258" s="4" t="s">
        <v>274</v>
      </c>
      <c r="H258" s="50">
        <f>(H257*H256)/(10^3)</f>
        <v>3229.3317451564681</v>
      </c>
      <c r="I258" s="4" t="s">
        <v>63</v>
      </c>
    </row>
    <row r="260" spans="1:9" ht="19.5" thickBot="1" x14ac:dyDescent="0.35">
      <c r="A260" s="1" t="s">
        <v>91</v>
      </c>
      <c r="B260" s="4" t="s">
        <v>200</v>
      </c>
    </row>
    <row r="261" spans="1:9" ht="23.25" thickBot="1" x14ac:dyDescent="0.35">
      <c r="B261" s="4" t="s">
        <v>201</v>
      </c>
      <c r="H261" s="21">
        <f>H239-H256</f>
        <v>93.512021589488853</v>
      </c>
      <c r="I261" s="4" t="s">
        <v>7</v>
      </c>
    </row>
    <row r="262" spans="1:9" ht="21" thickBot="1" x14ac:dyDescent="0.4">
      <c r="B262" s="4" t="s">
        <v>202</v>
      </c>
      <c r="H262" s="21">
        <f>(H261*H251)/(10^3)</f>
        <v>187.02404317897771</v>
      </c>
      <c r="I262" s="4" t="s">
        <v>63</v>
      </c>
    </row>
    <row r="263" spans="1:9" ht="21" thickBot="1" x14ac:dyDescent="0.4">
      <c r="B263" s="4" t="s">
        <v>203</v>
      </c>
      <c r="H263" s="21">
        <f>H236-H255</f>
        <v>571.68860867809326</v>
      </c>
      <c r="I263" s="4" t="s">
        <v>63</v>
      </c>
    </row>
    <row r="265" spans="1:9" x14ac:dyDescent="0.3">
      <c r="A265" s="1" t="s">
        <v>27</v>
      </c>
      <c r="B265" s="4" t="s">
        <v>204</v>
      </c>
    </row>
    <row r="267" spans="1:9" x14ac:dyDescent="0.3">
      <c r="F267" s="4" t="s">
        <v>214</v>
      </c>
    </row>
    <row r="268" spans="1:9" ht="23.25" x14ac:dyDescent="0.35">
      <c r="B268" s="28" t="s">
        <v>205</v>
      </c>
      <c r="C268" s="28" t="s">
        <v>206</v>
      </c>
      <c r="D268" s="28" t="s">
        <v>207</v>
      </c>
      <c r="E268" s="28" t="s">
        <v>208</v>
      </c>
      <c r="F268" s="28" t="s">
        <v>206</v>
      </c>
      <c r="G268" s="28" t="s">
        <v>207</v>
      </c>
      <c r="H268" s="28" t="s">
        <v>208</v>
      </c>
    </row>
    <row r="269" spans="1:9" x14ac:dyDescent="0.3">
      <c r="B269" s="28" t="s">
        <v>247</v>
      </c>
      <c r="C269" s="29">
        <f>H128</f>
        <v>77.037511598423777</v>
      </c>
      <c r="D269" s="29">
        <f>H133</f>
        <v>564.7580870915715</v>
      </c>
      <c r="E269" s="45">
        <f>H130</f>
        <v>1066.6732375166366</v>
      </c>
      <c r="F269" s="29">
        <f>C269-'3rd Iteration'!C267</f>
        <v>-0.47876231800387359</v>
      </c>
      <c r="G269" s="29">
        <f>D269-'3rd Iteration'!D267</f>
        <v>-3.1364794826261004</v>
      </c>
      <c r="H269" s="29">
        <f>E269-'3rd Iteration'!E267</f>
        <v>-6.6290167108236346</v>
      </c>
    </row>
    <row r="270" spans="1:9" x14ac:dyDescent="0.3">
      <c r="B270" s="28" t="s">
        <v>209</v>
      </c>
      <c r="C270" s="29">
        <f>H172</f>
        <v>220.70086139608571</v>
      </c>
      <c r="D270" s="29">
        <f>H184</f>
        <v>110.94334330966535</v>
      </c>
      <c r="E270" s="45">
        <f>H180</f>
        <v>176.76270363530898</v>
      </c>
      <c r="F270" s="29">
        <f>C270-'3rd Iteration'!C268</f>
        <v>-1.1872950203308505</v>
      </c>
      <c r="G270" s="29">
        <f>D270-'3rd Iteration'!D268</f>
        <v>-0.59683717687906324</v>
      </c>
      <c r="H270" s="29">
        <f>E270-'3rd Iteration'!E268</f>
        <v>-0.95092278516199258</v>
      </c>
    </row>
    <row r="271" spans="1:9" x14ac:dyDescent="0.3">
      <c r="B271" s="28" t="s">
        <v>210</v>
      </c>
      <c r="C271" s="29">
        <f>H238</f>
        <v>16.732025918590647</v>
      </c>
      <c r="D271" s="29">
        <f>H243</f>
        <v>16.732025918590647</v>
      </c>
      <c r="E271" s="45">
        <f>H244</f>
        <v>83.66012959295324</v>
      </c>
      <c r="F271" s="29">
        <f>C271-'3rd Iteration'!C269</f>
        <v>-20.575138652041968</v>
      </c>
      <c r="G271" s="29">
        <f>D271-'3rd Iteration'!D269</f>
        <v>-20.575138652041968</v>
      </c>
      <c r="H271" s="29">
        <f>E271-'3rd Iteration'!E269</f>
        <v>-102.87569326020983</v>
      </c>
    </row>
    <row r="272" spans="1:9" x14ac:dyDescent="0.3">
      <c r="B272" s="28" t="s">
        <v>211</v>
      </c>
      <c r="C272" s="29">
        <f>H261</f>
        <v>93.512021589488853</v>
      </c>
      <c r="D272" s="29">
        <f>H262</f>
        <v>187.02404317897771</v>
      </c>
      <c r="E272" s="45">
        <f>H263</f>
        <v>571.68860867809326</v>
      </c>
      <c r="F272" s="29">
        <f>C272-'3rd Iteration'!C270</f>
        <v>16.182216879115686</v>
      </c>
      <c r="G272" s="29">
        <f>D272-'3rd Iteration'!D270</f>
        <v>32.364433758231371</v>
      </c>
      <c r="H272" s="29">
        <f>E272-'3rd Iteration'!E270</f>
        <v>98.930478624030002</v>
      </c>
    </row>
    <row r="273" spans="2:8" x14ac:dyDescent="0.3">
      <c r="B273" s="28" t="s">
        <v>212</v>
      </c>
      <c r="C273" s="29">
        <f>SUM(C269:C272)</f>
        <v>407.98242050258898</v>
      </c>
      <c r="D273" s="29">
        <f t="shared" ref="D273:E273" si="0">SUM(D269:D272)</f>
        <v>879.45749949880519</v>
      </c>
      <c r="E273" s="45">
        <f t="shared" si="0"/>
        <v>1898.7846794229922</v>
      </c>
      <c r="F273" s="29">
        <f>SUM(F269:F272)</f>
        <v>-6.0589791112610065</v>
      </c>
      <c r="G273" s="29">
        <f t="shared" ref="G273:H273" si="1">SUM(G269:G272)</f>
        <v>8.0559784466842395</v>
      </c>
      <c r="H273" s="29">
        <f t="shared" si="1"/>
        <v>-11.525154132165454</v>
      </c>
    </row>
    <row r="274" spans="2:8" x14ac:dyDescent="0.3">
      <c r="F274" s="47">
        <f>F273/C273</f>
        <v>-1.4851078886676092E-2</v>
      </c>
      <c r="G274" s="47">
        <f t="shared" ref="G274:H274" si="2">G273/D273</f>
        <v>9.1601680027463151E-3</v>
      </c>
      <c r="H274" s="47">
        <f t="shared" si="2"/>
        <v>-6.0697530673502953E-3</v>
      </c>
    </row>
    <row r="278" spans="2:8" ht="23.25" x14ac:dyDescent="0.35">
      <c r="B278" s="28" t="s">
        <v>205</v>
      </c>
      <c r="C278" s="28" t="s">
        <v>206</v>
      </c>
      <c r="D278" s="28" t="s">
        <v>207</v>
      </c>
      <c r="E278" s="28" t="s">
        <v>208</v>
      </c>
    </row>
    <row r="279" spans="2:8" x14ac:dyDescent="0.3">
      <c r="B279" s="48" t="s">
        <v>258</v>
      </c>
      <c r="C279" s="51">
        <f>H10</f>
        <v>32400</v>
      </c>
      <c r="D279" s="51">
        <f>H73</f>
        <v>9720</v>
      </c>
      <c r="E279" s="51">
        <f>H78</f>
        <v>12960</v>
      </c>
    </row>
    <row r="280" spans="2:8" x14ac:dyDescent="0.3">
      <c r="B280" s="48" t="s">
        <v>259</v>
      </c>
      <c r="C280" s="51">
        <f>H84</f>
        <v>24.452830188679243</v>
      </c>
      <c r="D280" s="51">
        <f>H86</f>
        <v>18.771263999999999</v>
      </c>
      <c r="E280" s="51">
        <f>H82</f>
        <v>648</v>
      </c>
    </row>
    <row r="281" spans="2:8" x14ac:dyDescent="0.3">
      <c r="B281" s="48" t="s">
        <v>261</v>
      </c>
      <c r="C281" s="51">
        <f>H12</f>
        <v>32814.041399613852</v>
      </c>
      <c r="D281" s="51">
        <f>H75-H86</f>
        <v>10572.63025705212</v>
      </c>
      <c r="E281" s="51">
        <f>H80-H82</f>
        <v>14222.309833555159</v>
      </c>
    </row>
    <row r="282" spans="2:8" x14ac:dyDescent="0.3">
      <c r="B282" s="48" t="s">
        <v>262</v>
      </c>
      <c r="C282" s="51">
        <f>H121</f>
        <v>177.77887291943949</v>
      </c>
      <c r="D282" s="51">
        <f>H107</f>
        <v>3488.9679848271999</v>
      </c>
      <c r="E282" s="51">
        <f>H109</f>
        <v>7111.1549167775793</v>
      </c>
    </row>
    <row r="283" spans="2:8" x14ac:dyDescent="0.3">
      <c r="B283" s="48" t="s">
        <v>263</v>
      </c>
      <c r="C283" s="51">
        <f>H127</f>
        <v>100.74136132101572</v>
      </c>
      <c r="D283" s="51">
        <f>H135</f>
        <v>3200.2958268522398</v>
      </c>
      <c r="E283" s="51">
        <f>H129</f>
        <v>6044.4816792609427</v>
      </c>
    </row>
    <row r="284" spans="2:8" x14ac:dyDescent="0.3">
      <c r="B284" s="48" t="s">
        <v>211</v>
      </c>
      <c r="C284" s="51">
        <f>H128</f>
        <v>77.037511598423777</v>
      </c>
      <c r="D284" s="51">
        <f>H133</f>
        <v>564.7580870915715</v>
      </c>
      <c r="E284" s="51">
        <f>H130</f>
        <v>1066.6732375166366</v>
      </c>
      <c r="G284" s="84"/>
    </row>
    <row r="285" spans="2:8" x14ac:dyDescent="0.3">
      <c r="B285" s="48" t="s">
        <v>272</v>
      </c>
      <c r="C285" s="51">
        <f>C281-C282</f>
        <v>32636.262526694412</v>
      </c>
      <c r="D285" s="51">
        <f>D281-D282</f>
        <v>7083.6622722249203</v>
      </c>
      <c r="E285" s="51">
        <f>E281-E282</f>
        <v>7111.1549167775793</v>
      </c>
      <c r="G285" s="84"/>
      <c r="H285" s="49"/>
    </row>
    <row r="286" spans="2:8" x14ac:dyDescent="0.3">
      <c r="B286" s="48" t="s">
        <v>264</v>
      </c>
      <c r="C286" s="51">
        <f>C285-C288</f>
        <v>32383.744378643973</v>
      </c>
      <c r="D286" s="51">
        <f>H154</f>
        <v>656.28082799227695</v>
      </c>
      <c r="E286" s="51">
        <f>H155</f>
        <v>984.42124198841555</v>
      </c>
    </row>
    <row r="287" spans="2:8" x14ac:dyDescent="0.3">
      <c r="B287" s="48" t="s">
        <v>267</v>
      </c>
      <c r="C287" s="51">
        <f>C286</f>
        <v>32383.744378643973</v>
      </c>
      <c r="D287" s="51">
        <f>(C287*H34)/10^3</f>
        <v>323.83744378643974</v>
      </c>
      <c r="E287" s="51">
        <f>(C287*H33)/10^3</f>
        <v>323.83744378643974</v>
      </c>
      <c r="G287" s="84"/>
    </row>
    <row r="288" spans="2:8" x14ac:dyDescent="0.3">
      <c r="B288" s="48" t="s">
        <v>265</v>
      </c>
      <c r="C288" s="51">
        <f>H162</f>
        <v>252.51814805044131</v>
      </c>
      <c r="D288" s="51">
        <f>D289+D290</f>
        <v>1339.8542230474964</v>
      </c>
      <c r="E288" s="51">
        <f>H161</f>
        <v>1767.6270363530894</v>
      </c>
    </row>
    <row r="289" spans="2:7" x14ac:dyDescent="0.3">
      <c r="B289" s="48" t="s">
        <v>266</v>
      </c>
      <c r="C289" s="51">
        <f>H170</f>
        <v>31.817286654355609</v>
      </c>
      <c r="D289" s="51">
        <f>H178</f>
        <v>1228.910879737831</v>
      </c>
      <c r="E289" s="51">
        <f>H169</f>
        <v>1590.8643327177804</v>
      </c>
    </row>
    <row r="290" spans="2:7" x14ac:dyDescent="0.3">
      <c r="B290" s="48" t="s">
        <v>211</v>
      </c>
      <c r="C290" s="51">
        <f>H172</f>
        <v>220.70086139608571</v>
      </c>
      <c r="D290" s="51">
        <f>H184</f>
        <v>110.94334330966535</v>
      </c>
      <c r="E290" s="51">
        <f>H180</f>
        <v>176.76270363530898</v>
      </c>
    </row>
    <row r="291" spans="2:7" x14ac:dyDescent="0.3">
      <c r="B291" s="48" t="s">
        <v>268</v>
      </c>
      <c r="C291" s="51">
        <f>C283+C289</f>
        <v>132.55864797537131</v>
      </c>
      <c r="D291" s="51">
        <f>D283+D289</f>
        <v>4429.206706590071</v>
      </c>
      <c r="E291" s="51">
        <f>E283+E289</f>
        <v>7635.3460119787233</v>
      </c>
      <c r="G291" s="84"/>
    </row>
    <row r="292" spans="2:7" x14ac:dyDescent="0.3">
      <c r="B292" s="48" t="s">
        <v>273</v>
      </c>
      <c r="C292" s="51">
        <f>H223</f>
        <v>1488.9003211619934</v>
      </c>
      <c r="D292" s="89" t="s">
        <v>63</v>
      </c>
      <c r="E292" s="90"/>
    </row>
    <row r="293" spans="2:7" x14ac:dyDescent="0.3">
      <c r="B293" s="48" t="s">
        <v>269</v>
      </c>
      <c r="C293" s="51">
        <f>H238</f>
        <v>16.732025918590647</v>
      </c>
      <c r="D293" s="51">
        <f>H243</f>
        <v>16.732025918590647</v>
      </c>
      <c r="E293" s="51">
        <f>H244</f>
        <v>83.66012959295324</v>
      </c>
    </row>
    <row r="294" spans="2:7" x14ac:dyDescent="0.3">
      <c r="B294" s="48" t="s">
        <v>270</v>
      </c>
      <c r="C294" s="51">
        <f>H239</f>
        <v>114.3377217356187</v>
      </c>
      <c r="D294" s="51">
        <f>D295+D296</f>
        <v>3416.3557883354456</v>
      </c>
      <c r="E294" s="51">
        <f>E295+E296</f>
        <v>5716.8860867809353</v>
      </c>
    </row>
    <row r="295" spans="2:7" x14ac:dyDescent="0.3">
      <c r="B295" s="48" t="s">
        <v>271</v>
      </c>
      <c r="C295" s="51">
        <f>H256</f>
        <v>20.825700146129854</v>
      </c>
      <c r="D295" s="51">
        <f>H258</f>
        <v>3229.3317451564681</v>
      </c>
      <c r="E295" s="51">
        <f>H255</f>
        <v>5145.1974781028421</v>
      </c>
    </row>
    <row r="296" spans="2:7" x14ac:dyDescent="0.3">
      <c r="B296" s="48" t="s">
        <v>211</v>
      </c>
      <c r="C296" s="51">
        <f>H261</f>
        <v>93.512021589488853</v>
      </c>
      <c r="D296" s="51">
        <f>H262</f>
        <v>187.02404317897771</v>
      </c>
      <c r="E296" s="51">
        <f>H263</f>
        <v>571.68860867809326</v>
      </c>
    </row>
    <row r="297" spans="2:7" x14ac:dyDescent="0.3">
      <c r="B297" s="48" t="s">
        <v>260</v>
      </c>
      <c r="C297" s="51">
        <f>C273</f>
        <v>407.98242050258898</v>
      </c>
      <c r="D297" s="51">
        <f>D273</f>
        <v>879.45749949880519</v>
      </c>
      <c r="E297" s="51">
        <f>E273</f>
        <v>1898.7846794229922</v>
      </c>
    </row>
  </sheetData>
  <mergeCells count="16">
    <mergeCell ref="D292:E292"/>
    <mergeCell ref="M13:Q13"/>
    <mergeCell ref="N14:Q14"/>
    <mergeCell ref="N15:Q15"/>
    <mergeCell ref="N16:Q16"/>
    <mergeCell ref="N17:Q17"/>
    <mergeCell ref="M21:S21"/>
    <mergeCell ref="R40:S40"/>
    <mergeCell ref="R41:S41"/>
    <mergeCell ref="R42:S42"/>
    <mergeCell ref="R43:S43"/>
    <mergeCell ref="R35:S35"/>
    <mergeCell ref="R36:S36"/>
    <mergeCell ref="R37:S37"/>
    <mergeCell ref="R38:S38"/>
    <mergeCell ref="R39:S3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E0E8C-E6E0-4E8F-BFA8-7615F42D408D}">
  <dimension ref="A1:X272"/>
  <sheetViews>
    <sheetView topLeftCell="A251" zoomScale="71" zoomScaleNormal="70" workbookViewId="0">
      <selection activeCell="H79" sqref="H79"/>
    </sheetView>
  </sheetViews>
  <sheetFormatPr defaultRowHeight="18.75" x14ac:dyDescent="0.3"/>
  <cols>
    <col min="1" max="1" width="5" style="1" bestFit="1" customWidth="1"/>
    <col min="2" max="2" width="24.140625" style="4" customWidth="1"/>
    <col min="3" max="3" width="18.42578125" style="4" customWidth="1"/>
    <col min="4" max="4" width="16.5703125" style="4" customWidth="1"/>
    <col min="5" max="5" width="14.42578125" style="4" customWidth="1"/>
    <col min="6" max="6" width="16.7109375" style="4" customWidth="1"/>
    <col min="7" max="8" width="14.5703125" style="4" customWidth="1"/>
    <col min="9" max="9" width="9.5703125" style="4" customWidth="1"/>
    <col min="10" max="11" width="9.140625" style="4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1.5703125" style="4" customWidth="1"/>
    <col min="18" max="16384" width="9.140625" style="4"/>
  </cols>
  <sheetData>
    <row r="1" spans="1:17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7" x14ac:dyDescent="0.3">
      <c r="B2" s="5"/>
    </row>
    <row r="3" spans="1:17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7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7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7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7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7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7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17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17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1">
        <f>'2nd Iteration'!C271</f>
        <v>418.94595256329723</v>
      </c>
      <c r="I11" s="10" t="s">
        <v>7</v>
      </c>
    </row>
    <row r="12" spans="1:17" ht="23.25" thickBot="1" x14ac:dyDescent="0.35">
      <c r="A12" s="8" t="s">
        <v>10</v>
      </c>
      <c r="B12" s="9" t="s">
        <v>255</v>
      </c>
      <c r="C12" s="10"/>
      <c r="D12" s="10"/>
      <c r="E12" s="10"/>
      <c r="H12" s="21">
        <f>H10+H11</f>
        <v>32818.945952563299</v>
      </c>
      <c r="I12" s="10" t="s">
        <v>7</v>
      </c>
    </row>
    <row r="13" spans="1:17" ht="19.5" thickBot="1" x14ac:dyDescent="0.35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</row>
    <row r="14" spans="1:17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</row>
    <row r="15" spans="1:17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</row>
    <row r="16" spans="1:17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</row>
    <row r="17" spans="1:17" ht="19.5" thickBot="1" x14ac:dyDescent="0.35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</row>
    <row r="18" spans="1:17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</row>
    <row r="19" spans="1:17" ht="19.5" thickBot="1" x14ac:dyDescent="0.35">
      <c r="A19" s="1" t="s">
        <v>17</v>
      </c>
      <c r="B19" s="4" t="s">
        <v>18</v>
      </c>
      <c r="H19" s="33">
        <f>3%</f>
        <v>0.03</v>
      </c>
    </row>
    <row r="20" spans="1:17" ht="23.25" thickBot="1" x14ac:dyDescent="0.35">
      <c r="B20" s="4" t="s">
        <v>218</v>
      </c>
      <c r="H20" s="38">
        <v>2.65</v>
      </c>
      <c r="I20" s="4" t="s">
        <v>174</v>
      </c>
    </row>
    <row r="21" spans="1:17" ht="19.5" thickBot="1" x14ac:dyDescent="0.35">
      <c r="B21" s="4" t="s">
        <v>219</v>
      </c>
      <c r="H21" s="33">
        <f>0.01</f>
        <v>0.01</v>
      </c>
    </row>
    <row r="22" spans="1:17" ht="19.5" thickBot="1" x14ac:dyDescent="0.35">
      <c r="A22" s="1">
        <v>4</v>
      </c>
      <c r="B22" s="5" t="s">
        <v>19</v>
      </c>
    </row>
    <row r="23" spans="1:17" ht="19.5" thickBot="1" x14ac:dyDescent="0.35">
      <c r="A23" s="1" t="s">
        <v>6</v>
      </c>
      <c r="B23" s="5" t="s">
        <v>20</v>
      </c>
      <c r="H23" s="33">
        <f>0.04</f>
        <v>0.04</v>
      </c>
    </row>
    <row r="24" spans="1:17" ht="19.5" thickBot="1" x14ac:dyDescent="0.35">
      <c r="A24" s="1" t="s">
        <v>8</v>
      </c>
      <c r="B24" s="5" t="s">
        <v>21</v>
      </c>
      <c r="H24" s="33">
        <v>0.05</v>
      </c>
    </row>
    <row r="25" spans="1:17" ht="19.5" thickBot="1" x14ac:dyDescent="0.35">
      <c r="B25" s="5" t="s">
        <v>215</v>
      </c>
      <c r="H25" s="35">
        <f>0.85</f>
        <v>0.85</v>
      </c>
    </row>
    <row r="26" spans="1:17" ht="19.5" thickBot="1" x14ac:dyDescent="0.35">
      <c r="B26" s="5" t="s">
        <v>216</v>
      </c>
      <c r="H26" s="35">
        <f>0.06</f>
        <v>0.06</v>
      </c>
    </row>
    <row r="27" spans="1:17" ht="19.5" thickBot="1" x14ac:dyDescent="0.35">
      <c r="A27" s="1" t="s">
        <v>10</v>
      </c>
      <c r="B27" s="5" t="s">
        <v>22</v>
      </c>
      <c r="H27" s="35">
        <f>0.9</f>
        <v>0.9</v>
      </c>
    </row>
    <row r="28" spans="1:17" ht="19.5" thickBot="1" x14ac:dyDescent="0.35">
      <c r="A28" s="1" t="s">
        <v>15</v>
      </c>
      <c r="B28" s="5" t="s">
        <v>23</v>
      </c>
      <c r="H28" s="34">
        <v>0.05</v>
      </c>
    </row>
    <row r="29" spans="1:17" ht="19.5" thickBot="1" x14ac:dyDescent="0.35">
      <c r="A29" s="1" t="s">
        <v>17</v>
      </c>
      <c r="B29" s="5" t="s">
        <v>24</v>
      </c>
      <c r="H29" s="11">
        <v>1</v>
      </c>
    </row>
    <row r="30" spans="1:17" ht="19.5" thickBot="1" x14ac:dyDescent="0.35">
      <c r="A30" s="1" t="s">
        <v>25</v>
      </c>
      <c r="B30" s="5" t="s">
        <v>26</v>
      </c>
      <c r="H30" s="12">
        <f>0.65</f>
        <v>0.65</v>
      </c>
    </row>
    <row r="31" spans="1:17" ht="21" thickBot="1" x14ac:dyDescent="0.4">
      <c r="A31" s="1" t="s">
        <v>27</v>
      </c>
      <c r="B31" s="5" t="s">
        <v>28</v>
      </c>
      <c r="H31" s="11">
        <f>0.68</f>
        <v>0.68</v>
      </c>
    </row>
    <row r="32" spans="1:17" ht="19.5" thickBot="1" x14ac:dyDescent="0.35">
      <c r="A32" s="1">
        <v>5</v>
      </c>
      <c r="B32" s="5" t="s">
        <v>29</v>
      </c>
    </row>
    <row r="33" spans="1:9" ht="24" thickBot="1" x14ac:dyDescent="0.4">
      <c r="A33" s="1" t="s">
        <v>6</v>
      </c>
      <c r="B33" s="4" t="s">
        <v>12</v>
      </c>
      <c r="H33" s="32">
        <v>10</v>
      </c>
      <c r="I33" s="4" t="s">
        <v>9</v>
      </c>
    </row>
    <row r="34" spans="1:9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</row>
    <row r="35" spans="1:9" ht="19.5" thickBot="1" x14ac:dyDescent="0.35">
      <c r="B35" s="5" t="s">
        <v>257</v>
      </c>
    </row>
    <row r="36" spans="1:9" ht="24" thickBot="1" x14ac:dyDescent="0.4">
      <c r="A36" s="1" t="s">
        <v>10</v>
      </c>
      <c r="B36" s="4" t="s">
        <v>12</v>
      </c>
      <c r="H36" s="32">
        <v>20</v>
      </c>
      <c r="I36" s="4" t="s">
        <v>9</v>
      </c>
    </row>
    <row r="37" spans="1:9" ht="21" thickBot="1" x14ac:dyDescent="0.4">
      <c r="A37" s="1" t="s">
        <v>15</v>
      </c>
      <c r="B37" s="4" t="s">
        <v>13</v>
      </c>
      <c r="H37" s="32">
        <v>30</v>
      </c>
      <c r="I37" s="4" t="str">
        <f>I36</f>
        <v>g/m3</v>
      </c>
    </row>
    <row r="38" spans="1:9" x14ac:dyDescent="0.3">
      <c r="A38" s="1">
        <v>6</v>
      </c>
      <c r="B38" s="5" t="s">
        <v>30</v>
      </c>
    </row>
    <row r="39" spans="1:9" ht="19.5" thickBot="1" x14ac:dyDescent="0.35">
      <c r="B39" s="5" t="s">
        <v>31</v>
      </c>
    </row>
    <row r="40" spans="1:9" ht="19.5" thickBot="1" x14ac:dyDescent="0.35">
      <c r="A40" s="1" t="s">
        <v>6</v>
      </c>
      <c r="B40" s="5" t="s">
        <v>32</v>
      </c>
      <c r="H40" s="33">
        <f>0.33</f>
        <v>0.33</v>
      </c>
    </row>
    <row r="41" spans="1:9" ht="19.5" thickBot="1" x14ac:dyDescent="0.35">
      <c r="A41" s="1" t="s">
        <v>8</v>
      </c>
      <c r="B41" s="5" t="s">
        <v>33</v>
      </c>
      <c r="H41" s="33">
        <f>0.5</f>
        <v>0.5</v>
      </c>
    </row>
    <row r="42" spans="1:9" ht="21" thickBot="1" x14ac:dyDescent="0.4">
      <c r="A42" s="1" t="s">
        <v>10</v>
      </c>
      <c r="B42" s="5" t="s">
        <v>34</v>
      </c>
      <c r="H42" s="12">
        <f>0.85</f>
        <v>0.85</v>
      </c>
    </row>
    <row r="43" spans="1:9" x14ac:dyDescent="0.3">
      <c r="A43" s="1">
        <v>7</v>
      </c>
      <c r="B43" s="5" t="s">
        <v>35</v>
      </c>
    </row>
    <row r="44" spans="1:9" ht="19.5" thickBot="1" x14ac:dyDescent="0.35">
      <c r="B44" s="5" t="s">
        <v>36</v>
      </c>
    </row>
    <row r="45" spans="1:9" ht="21" thickBot="1" x14ac:dyDescent="0.4">
      <c r="A45" s="1" t="s">
        <v>6</v>
      </c>
      <c r="B45" s="5" t="s">
        <v>37</v>
      </c>
      <c r="H45" s="11">
        <f>0.8</f>
        <v>0.8</v>
      </c>
    </row>
    <row r="46" spans="1:9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9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9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'1st Iteration'!H54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0.9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31">
        <f>'2nd Iteration'!D271</f>
        <v>908.30605122713575</v>
      </c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10628.306051227135</v>
      </c>
      <c r="I75" s="4" t="s">
        <v>63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31">
        <f>'2nd Iteration'!E271</f>
        <v>1998.6967230327957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14958.696723032795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14310.696723032795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3501.1464797849544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7108.3883074421801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7155.3483615163977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7155.3483615163977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10022.326804431974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6082.0461072889375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3920.8406971430359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178.88370903790994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0.54795944223072202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101.36743512148229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77.51627391642765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6082.0461072889375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1073.3022542274603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13846.153846153851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7326.1334411721054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567.8945665741976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31746.578245079116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3218.0692105871185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32818.945952563299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7108.3883074421801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216.59404655215579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2796.6629293990977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3495.828661748872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656.37891905126605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984.56837857689891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2209.3637142252869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2761.7046427816085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1777.1362642047097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253.87660917210135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1599.4226377842388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31.988452755684776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221.88815641641656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1599.4226377842388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50000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1235.5219992355687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177.71362642047097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800.91533180778049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502.6864988558354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111.54018048654441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4" ht="21" thickBot="1" x14ac:dyDescent="0.4">
      <c r="B193" s="4" t="s">
        <v>118</v>
      </c>
      <c r="H193" s="21">
        <f>H129+H174</f>
        <v>7681.4687450731763</v>
      </c>
      <c r="I193" s="4" t="s">
        <v>63</v>
      </c>
    </row>
    <row r="194" spans="1:24" ht="23.25" thickBot="1" x14ac:dyDescent="0.35">
      <c r="B194" s="4" t="s">
        <v>143</v>
      </c>
      <c r="H194" s="21">
        <f>(H129/(H125*H126*H68))+(H174/(H165*H167*H68))</f>
        <v>133.35588787716705</v>
      </c>
      <c r="I194" s="4" t="s">
        <v>7</v>
      </c>
    </row>
    <row r="195" spans="1:24" ht="21" thickBot="1" x14ac:dyDescent="0.4">
      <c r="A195" s="1" t="s">
        <v>91</v>
      </c>
      <c r="B195" s="4" t="s">
        <v>144</v>
      </c>
    </row>
    <row r="196" spans="1:24" ht="21" thickBot="1" x14ac:dyDescent="0.4">
      <c r="B196" s="4" t="s">
        <v>145</v>
      </c>
      <c r="H196" s="21">
        <f>(H129*H122)+(H174*H140)</f>
        <v>4612.2527027989718</v>
      </c>
      <c r="I196" s="4" t="s">
        <v>63</v>
      </c>
    </row>
    <row r="197" spans="1:24" ht="21" thickBot="1" x14ac:dyDescent="0.4">
      <c r="B197" s="4" t="s">
        <v>146</v>
      </c>
      <c r="H197" s="22">
        <f>H196/H193</f>
        <v>0.60043890769681629</v>
      </c>
    </row>
    <row r="198" spans="1:24" ht="19.5" thickBot="1" x14ac:dyDescent="0.35">
      <c r="A198" s="1" t="s">
        <v>122</v>
      </c>
      <c r="B198" s="4" t="s">
        <v>147</v>
      </c>
    </row>
    <row r="199" spans="1:24" ht="21" thickBot="1" x14ac:dyDescent="0.4">
      <c r="B199" s="4" t="s">
        <v>145</v>
      </c>
      <c r="H199" s="21">
        <f>H196*H188</f>
        <v>2767.3516216793828</v>
      </c>
      <c r="I199" s="4" t="s">
        <v>63</v>
      </c>
    </row>
    <row r="200" spans="1:24" ht="19.5" thickBot="1" x14ac:dyDescent="0.35">
      <c r="A200" s="1" t="s">
        <v>95</v>
      </c>
      <c r="B200" s="4" t="s">
        <v>148</v>
      </c>
    </row>
    <row r="201" spans="1:24" ht="19.5" thickBot="1" x14ac:dyDescent="0.35">
      <c r="B201" s="4" t="s">
        <v>149</v>
      </c>
      <c r="H201" s="21">
        <f>(H129/H125)</f>
        <v>101367.4351214823</v>
      </c>
      <c r="I201" s="4" t="s">
        <v>63</v>
      </c>
      <c r="K201" s="4" t="s">
        <v>150</v>
      </c>
    </row>
    <row r="202" spans="1:24" ht="19.5" thickBot="1" x14ac:dyDescent="0.35">
      <c r="B202" s="4" t="s">
        <v>151</v>
      </c>
      <c r="H202" s="21">
        <f>H174/H165</f>
        <v>31988.452755684775</v>
      </c>
      <c r="I202" s="4" t="s">
        <v>63</v>
      </c>
      <c r="K202" s="4" t="s">
        <v>152</v>
      </c>
    </row>
    <row r="204" spans="1:24" ht="19.5" thickBot="1" x14ac:dyDescent="0.35">
      <c r="B204" s="4" t="s">
        <v>153</v>
      </c>
    </row>
    <row r="205" spans="1:24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  <c r="U205" s="24"/>
      <c r="V205" s="24"/>
      <c r="W205" s="24"/>
      <c r="X205" s="24"/>
    </row>
    <row r="206" spans="1:24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  <c r="U206" s="24"/>
      <c r="V206" s="24"/>
      <c r="W206" s="24"/>
      <c r="X206" s="24"/>
    </row>
    <row r="207" spans="1:24" ht="21" thickBot="1" x14ac:dyDescent="0.4">
      <c r="B207" s="4" t="s">
        <v>157</v>
      </c>
      <c r="H207" s="21">
        <f>H178+H135</f>
        <v>4453.5912098226872</v>
      </c>
      <c r="I207" s="4" t="s">
        <v>63</v>
      </c>
      <c r="J207" s="4" t="s">
        <v>158</v>
      </c>
      <c r="Q207" s="24"/>
      <c r="R207" s="24"/>
      <c r="S207" s="24"/>
      <c r="T207" s="24"/>
      <c r="U207" s="24"/>
      <c r="V207" s="24"/>
      <c r="W207" s="24"/>
      <c r="X207" s="24"/>
    </row>
    <row r="208" spans="1:24" ht="21" thickBot="1" x14ac:dyDescent="0.4">
      <c r="B208" s="4" t="s">
        <v>85</v>
      </c>
      <c r="H208" s="21">
        <f>H207*(1-H188)</f>
        <v>1781.4364839290749</v>
      </c>
      <c r="I208" s="4" t="s">
        <v>63</v>
      </c>
      <c r="J208" s="4" t="s">
        <v>159</v>
      </c>
      <c r="Q208" s="24"/>
      <c r="R208" s="24"/>
      <c r="S208" s="24"/>
      <c r="T208" s="24"/>
      <c r="U208" s="24"/>
      <c r="V208" s="24"/>
      <c r="W208" s="24"/>
      <c r="X208" s="24"/>
    </row>
    <row r="209" spans="1:24" ht="23.25" thickBot="1" x14ac:dyDescent="0.35">
      <c r="B209" s="4" t="s">
        <v>160</v>
      </c>
      <c r="H209" s="31">
        <f>$H$194</f>
        <v>133.35588787716705</v>
      </c>
      <c r="I209" s="4" t="s">
        <v>7</v>
      </c>
      <c r="J209" s="4" t="s">
        <v>161</v>
      </c>
      <c r="Q209" s="24"/>
      <c r="R209" s="24"/>
      <c r="S209" s="24"/>
      <c r="T209" s="24"/>
      <c r="U209" s="24"/>
      <c r="V209" s="24"/>
      <c r="W209" s="24"/>
      <c r="X209" s="24"/>
    </row>
    <row r="210" spans="1:24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  <c r="U210" s="24"/>
      <c r="V210" s="24"/>
      <c r="W210" s="24"/>
      <c r="X210" s="24"/>
    </row>
    <row r="211" spans="1:24" ht="21" thickBot="1" x14ac:dyDescent="0.4">
      <c r="B211" s="4" t="s">
        <v>163</v>
      </c>
      <c r="H211" s="21">
        <f>(H205*(H207-H208))/(1+(H206*H210))</f>
        <v>133.60773629468062</v>
      </c>
      <c r="I211" s="4" t="s">
        <v>63</v>
      </c>
      <c r="J211" s="4" t="s">
        <v>164</v>
      </c>
      <c r="Q211" s="24"/>
      <c r="R211" s="24"/>
      <c r="S211" s="24"/>
      <c r="T211" s="24"/>
      <c r="U211" s="24"/>
      <c r="V211" s="24"/>
      <c r="W211" s="24"/>
      <c r="X211" s="24"/>
    </row>
    <row r="212" spans="1:24" ht="24" thickBot="1" x14ac:dyDescent="0.4">
      <c r="B212" s="4" t="s">
        <v>165</v>
      </c>
      <c r="H212" s="21">
        <f>((H207-H208)-(1.42*H211))*0.35</f>
        <v>868.85110912430798</v>
      </c>
      <c r="I212" s="4" t="s">
        <v>7</v>
      </c>
      <c r="Q212" s="24"/>
      <c r="R212" s="24"/>
      <c r="S212" s="24"/>
      <c r="T212" s="24"/>
      <c r="U212" s="24"/>
      <c r="V212" s="24"/>
      <c r="W212" s="24"/>
      <c r="X212" s="24"/>
    </row>
    <row r="213" spans="1:24" ht="24" thickBot="1" x14ac:dyDescent="0.4">
      <c r="B213" s="4" t="s">
        <v>166</v>
      </c>
      <c r="H213" s="21">
        <f>H212/0.65</f>
        <v>1336.6940140373968</v>
      </c>
      <c r="I213" s="4" t="s">
        <v>7</v>
      </c>
      <c r="J213" s="4" t="s">
        <v>167</v>
      </c>
      <c r="Q213" s="24"/>
      <c r="R213" s="24"/>
      <c r="S213" s="24"/>
      <c r="T213" s="24"/>
      <c r="U213" s="24"/>
      <c r="V213" s="24"/>
      <c r="W213" s="24"/>
      <c r="X213" s="24"/>
    </row>
    <row r="214" spans="1:24" ht="23.25" thickBot="1" x14ac:dyDescent="0.35">
      <c r="B214" s="4" t="s">
        <v>168</v>
      </c>
      <c r="H214" s="21">
        <f>H213*1.12</f>
        <v>1497.0972957218846</v>
      </c>
      <c r="I214" s="4" t="s">
        <v>63</v>
      </c>
      <c r="J214" s="4" t="s">
        <v>245</v>
      </c>
      <c r="Q214" s="24"/>
      <c r="R214" s="24"/>
      <c r="S214" s="24"/>
      <c r="T214" s="24"/>
      <c r="U214" s="24"/>
      <c r="V214" s="24"/>
      <c r="W214" s="24"/>
      <c r="X214" s="24"/>
    </row>
    <row r="216" spans="1:24" x14ac:dyDescent="0.3">
      <c r="A216" s="1" t="s">
        <v>169</v>
      </c>
      <c r="B216" s="4" t="s">
        <v>170</v>
      </c>
    </row>
    <row r="217" spans="1:24" ht="21" thickBot="1" x14ac:dyDescent="0.4">
      <c r="B217" s="4" t="s">
        <v>171</v>
      </c>
    </row>
    <row r="218" spans="1:24" ht="19.5" thickBot="1" x14ac:dyDescent="0.35">
      <c r="B218" s="4" t="s">
        <v>172</v>
      </c>
      <c r="H218" s="21">
        <f>H193-H196</f>
        <v>3069.2160422742045</v>
      </c>
      <c r="I218" s="4" t="s">
        <v>63</v>
      </c>
    </row>
    <row r="219" spans="1:24" ht="21" thickBot="1" x14ac:dyDescent="0.4">
      <c r="B219" s="4" t="s">
        <v>173</v>
      </c>
      <c r="H219" s="21">
        <f>H218+(H196-H199)</f>
        <v>4914.117123393793</v>
      </c>
      <c r="I219" s="4" t="s">
        <v>63</v>
      </c>
    </row>
    <row r="221" spans="1:24" ht="19.5" thickBot="1" x14ac:dyDescent="0.35">
      <c r="B221" s="4" t="s">
        <v>175</v>
      </c>
    </row>
    <row r="222" spans="1:24" ht="19.5" thickBot="1" x14ac:dyDescent="0.35">
      <c r="B222" s="4" t="s">
        <v>176</v>
      </c>
      <c r="H222" s="21">
        <f>H201+H202</f>
        <v>133355.88787716709</v>
      </c>
      <c r="I222" s="4" t="s">
        <v>63</v>
      </c>
    </row>
    <row r="223" spans="1:24" ht="19.5" thickBot="1" x14ac:dyDescent="0.35">
      <c r="B223" s="4" t="s">
        <v>177</v>
      </c>
      <c r="H223" s="21">
        <f>H214</f>
        <v>1497.0972957218846</v>
      </c>
      <c r="I223" s="4" t="s">
        <v>63</v>
      </c>
    </row>
    <row r="224" spans="1:24" ht="19.5" thickBot="1" x14ac:dyDescent="0.35">
      <c r="B224" s="4" t="s">
        <v>178</v>
      </c>
      <c r="H224" s="21">
        <f>H222-H223</f>
        <v>131858.79058144521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186.53582285316307</v>
      </c>
      <c r="I234" s="4" t="s">
        <v>63</v>
      </c>
    </row>
    <row r="235" spans="1:9" ht="21" thickBot="1" x14ac:dyDescent="0.4">
      <c r="B235" s="4" t="s">
        <v>188</v>
      </c>
      <c r="H235" s="21">
        <f>H234</f>
        <v>186.53582285316307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4727.5813005406299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37.307164570632615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94.551626010812598</v>
      </c>
      <c r="I239" s="4" t="s">
        <v>7</v>
      </c>
    </row>
    <row r="241" spans="1:9" ht="19.5" thickBot="1" x14ac:dyDescent="0.35">
      <c r="A241" s="1" t="s">
        <v>192</v>
      </c>
      <c r="B241" s="4" t="s">
        <v>193</v>
      </c>
    </row>
    <row r="242" spans="1:9" ht="23.25" thickBot="1" x14ac:dyDescent="0.35">
      <c r="B242" s="4" t="s">
        <v>106</v>
      </c>
      <c r="H242" s="21">
        <f>H238</f>
        <v>37.307164570632615</v>
      </c>
      <c r="I242" s="4" t="s">
        <v>7</v>
      </c>
    </row>
    <row r="243" spans="1:9" ht="21" thickBot="1" x14ac:dyDescent="0.4">
      <c r="B243" s="4" t="s">
        <v>194</v>
      </c>
      <c r="H243" s="21">
        <f>(H242*H189)/(10^3)</f>
        <v>37.307164570632615</v>
      </c>
      <c r="I243" s="4" t="s">
        <v>63</v>
      </c>
    </row>
    <row r="244" spans="1:9" ht="21" thickBot="1" x14ac:dyDescent="0.4">
      <c r="B244" s="4" t="s">
        <v>188</v>
      </c>
      <c r="H244" s="21">
        <f>H235</f>
        <v>186.53582285316307</v>
      </c>
      <c r="I244" s="4" t="s">
        <v>63</v>
      </c>
    </row>
    <row r="246" spans="1:9" x14ac:dyDescent="0.3">
      <c r="A246" s="1" t="s">
        <v>25</v>
      </c>
      <c r="B246" s="4" t="s">
        <v>195</v>
      </c>
    </row>
    <row r="247" spans="1:9" ht="19.5" thickBot="1" x14ac:dyDescent="0.35">
      <c r="A247" s="1" t="s">
        <v>87</v>
      </c>
      <c r="B247" s="4" t="s">
        <v>196</v>
      </c>
    </row>
    <row r="248" spans="1:9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9" ht="19.5" thickBot="1" x14ac:dyDescent="0.35">
      <c r="B249" s="5" t="s">
        <v>55</v>
      </c>
      <c r="H249" s="44">
        <f>$H$62</f>
        <v>1.123</v>
      </c>
    </row>
    <row r="250" spans="1:9" ht="19.5" thickBot="1" x14ac:dyDescent="0.35">
      <c r="B250" s="5" t="s">
        <v>56</v>
      </c>
      <c r="H250" s="16">
        <f>$H$63</f>
        <v>0.9</v>
      </c>
    </row>
    <row r="251" spans="1:9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9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9" ht="19.5" thickBot="1" x14ac:dyDescent="0.35">
      <c r="A254" s="1" t="s">
        <v>115</v>
      </c>
      <c r="B254" s="4" t="s">
        <v>198</v>
      </c>
    </row>
    <row r="255" spans="1:9" ht="19.5" thickBot="1" x14ac:dyDescent="0.35">
      <c r="B255" s="4" t="s">
        <v>199</v>
      </c>
      <c r="H255" s="21">
        <f>H236*H250</f>
        <v>4254.8231704865666</v>
      </c>
      <c r="I255" s="4" t="s">
        <v>63</v>
      </c>
    </row>
    <row r="256" spans="1:9" ht="23.25" thickBot="1" x14ac:dyDescent="0.35">
      <c r="B256" s="4" t="s">
        <v>223</v>
      </c>
      <c r="H256" s="21">
        <f>H255/(H249*H248*1000)</f>
        <v>17.221821300439434</v>
      </c>
      <c r="I256" s="4" t="s">
        <v>7</v>
      </c>
    </row>
    <row r="258" spans="1:9" ht="19.5" thickBot="1" x14ac:dyDescent="0.35">
      <c r="A258" s="1" t="s">
        <v>91</v>
      </c>
      <c r="B258" s="4" t="s">
        <v>200</v>
      </c>
    </row>
    <row r="259" spans="1:9" ht="23.25" thickBot="1" x14ac:dyDescent="0.35">
      <c r="B259" s="4" t="s">
        <v>201</v>
      </c>
      <c r="H259" s="21">
        <f>H239-H256</f>
        <v>77.329804710373168</v>
      </c>
      <c r="I259" s="4" t="s">
        <v>7</v>
      </c>
    </row>
    <row r="260" spans="1:9" ht="21" thickBot="1" x14ac:dyDescent="0.4">
      <c r="B260" s="4" t="s">
        <v>202</v>
      </c>
      <c r="H260" s="21">
        <f>(H259*H251)/(10^3)</f>
        <v>154.65960942074634</v>
      </c>
      <c r="I260" s="4" t="s">
        <v>63</v>
      </c>
    </row>
    <row r="261" spans="1:9" ht="21" thickBot="1" x14ac:dyDescent="0.4">
      <c r="B261" s="4" t="s">
        <v>203</v>
      </c>
      <c r="H261" s="21">
        <f>H236-H255</f>
        <v>472.75813005406326</v>
      </c>
      <c r="I261" s="4" t="s">
        <v>63</v>
      </c>
    </row>
    <row r="263" spans="1:9" x14ac:dyDescent="0.3">
      <c r="A263" s="1" t="s">
        <v>27</v>
      </c>
      <c r="B263" s="4" t="s">
        <v>204</v>
      </c>
    </row>
    <row r="265" spans="1:9" x14ac:dyDescent="0.3">
      <c r="F265" s="4" t="s">
        <v>214</v>
      </c>
    </row>
    <row r="266" spans="1:9" ht="23.25" x14ac:dyDescent="0.35">
      <c r="B266" s="28" t="s">
        <v>205</v>
      </c>
      <c r="C266" s="28" t="s">
        <v>206</v>
      </c>
      <c r="D266" s="28" t="s">
        <v>207</v>
      </c>
      <c r="E266" s="28" t="s">
        <v>208</v>
      </c>
      <c r="F266" s="28" t="s">
        <v>206</v>
      </c>
      <c r="G266" s="28" t="s">
        <v>207</v>
      </c>
      <c r="H266" s="28" t="s">
        <v>208</v>
      </c>
    </row>
    <row r="267" spans="1:9" x14ac:dyDescent="0.3">
      <c r="B267" s="28" t="s">
        <v>247</v>
      </c>
      <c r="C267" s="29">
        <f>H128</f>
        <v>77.51627391642765</v>
      </c>
      <c r="D267" s="29">
        <f>H133</f>
        <v>567.8945665741976</v>
      </c>
      <c r="E267" s="45">
        <f>H130</f>
        <v>1073.3022542274603</v>
      </c>
      <c r="F267" s="29">
        <f>C267-'2nd Iteration'!C267</f>
        <v>-4.6714894052317106</v>
      </c>
      <c r="G267" s="29">
        <f>D267-'2nd Iteration'!D267</f>
        <v>-30.603976382062342</v>
      </c>
      <c r="H267" s="29">
        <f>E267-'2nd Iteration'!E267</f>
        <v>-64.682160995515915</v>
      </c>
    </row>
    <row r="268" spans="1:9" x14ac:dyDescent="0.3">
      <c r="B268" s="28" t="s">
        <v>209</v>
      </c>
      <c r="C268" s="29">
        <f>H172</f>
        <v>221.88815641641656</v>
      </c>
      <c r="D268" s="29">
        <f>H184</f>
        <v>111.54018048654441</v>
      </c>
      <c r="E268" s="45">
        <f>H180</f>
        <v>177.71362642047097</v>
      </c>
      <c r="F268" s="29">
        <f>C268-'2nd Iteration'!C268</f>
        <v>4.3296923487074821</v>
      </c>
      <c r="G268" s="29">
        <f>D268-'2nd Iteration'!D268</f>
        <v>2.1764778878946629</v>
      </c>
      <c r="H268" s="29">
        <f>E268-'2nd Iteration'!E268</f>
        <v>3.4677169840906572</v>
      </c>
    </row>
    <row r="269" spans="1:9" x14ac:dyDescent="0.3">
      <c r="B269" s="28" t="s">
        <v>210</v>
      </c>
      <c r="C269" s="29">
        <f>H238</f>
        <v>37.307164570632615</v>
      </c>
      <c r="D269" s="29">
        <f>H243</f>
        <v>37.307164570632615</v>
      </c>
      <c r="E269" s="45">
        <f>H244</f>
        <v>186.53582285316307</v>
      </c>
      <c r="F269" s="29">
        <f>C269-'2nd Iteration'!C269</f>
        <v>-0.64848010499888176</v>
      </c>
      <c r="G269" s="29">
        <f>D269-'2nd Iteration'!D269</f>
        <v>-0.64848010499888176</v>
      </c>
      <c r="H269" s="29">
        <f>E269-'2nd Iteration'!E269</f>
        <v>-3.242400524994423</v>
      </c>
    </row>
    <row r="270" spans="1:9" x14ac:dyDescent="0.3">
      <c r="B270" s="28" t="s">
        <v>211</v>
      </c>
      <c r="C270" s="29">
        <f>H259</f>
        <v>77.329804710373168</v>
      </c>
      <c r="D270" s="29">
        <f>H260</f>
        <v>154.65960942074634</v>
      </c>
      <c r="E270" s="45">
        <f>H261</f>
        <v>472.75813005406326</v>
      </c>
      <c r="F270" s="29">
        <f>C270-'2nd Iteration'!C270</f>
        <v>-3.9142757879241543</v>
      </c>
      <c r="G270" s="29">
        <f>D270-'2nd Iteration'!D270</f>
        <v>-7.8285515758483086</v>
      </c>
      <c r="H270" s="29">
        <f>E270-'2nd Iteration'!E270</f>
        <v>-23.930044941218512</v>
      </c>
    </row>
    <row r="271" spans="1:9" x14ac:dyDescent="0.3">
      <c r="B271" s="28" t="s">
        <v>212</v>
      </c>
      <c r="C271" s="29">
        <f>SUM(C267:C270)</f>
        <v>414.04139961384999</v>
      </c>
      <c r="D271" s="29">
        <f t="shared" ref="D271:E271" si="0">SUM(D267:D270)</f>
        <v>871.40152105212087</v>
      </c>
      <c r="E271" s="45">
        <f t="shared" si="0"/>
        <v>1910.3098335551576</v>
      </c>
      <c r="F271" s="29">
        <f>SUM(F267:F270)</f>
        <v>-4.9045529494472646</v>
      </c>
      <c r="G271" s="29">
        <f t="shared" ref="G271:H271" si="1">SUM(G267:G270)</f>
        <v>-36.90453017501487</v>
      </c>
      <c r="H271" s="29">
        <f t="shared" si="1"/>
        <v>-88.386889477638192</v>
      </c>
    </row>
    <row r="272" spans="1:9" x14ac:dyDescent="0.3">
      <c r="F272" s="46">
        <f>F271/C271</f>
        <v>-1.1845561709581284E-2</v>
      </c>
      <c r="G272" s="46">
        <f t="shared" ref="G272:H272" si="2">G271/D271</f>
        <v>-4.2350775484597196E-2</v>
      </c>
      <c r="H272" s="46">
        <f t="shared" si="2"/>
        <v>-4.6268352874018821E-2</v>
      </c>
    </row>
  </sheetData>
  <mergeCells count="5">
    <mergeCell ref="M13:Q13"/>
    <mergeCell ref="N14:Q14"/>
    <mergeCell ref="N15:Q15"/>
    <mergeCell ref="N16:Q16"/>
    <mergeCell ref="N17:Q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C8654-5F8D-48B0-AA0B-9F057E2B8A01}">
  <dimension ref="A1:X272"/>
  <sheetViews>
    <sheetView topLeftCell="A255" zoomScale="71" zoomScaleNormal="70" workbookViewId="0">
      <selection activeCell="H256" sqref="H256"/>
    </sheetView>
  </sheetViews>
  <sheetFormatPr defaultRowHeight="18.75" x14ac:dyDescent="0.3"/>
  <cols>
    <col min="1" max="1" width="5" style="1" bestFit="1" customWidth="1"/>
    <col min="2" max="2" width="24.140625" style="4" customWidth="1"/>
    <col min="3" max="3" width="18.42578125" style="4" customWidth="1"/>
    <col min="4" max="4" width="16.5703125" style="4" customWidth="1"/>
    <col min="5" max="5" width="14.42578125" style="4" customWidth="1"/>
    <col min="6" max="6" width="16.7109375" style="4" customWidth="1"/>
    <col min="7" max="8" width="14.5703125" style="4" customWidth="1"/>
    <col min="9" max="9" width="9.5703125" style="4" customWidth="1"/>
    <col min="10" max="11" width="9.140625" style="4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1.5703125" style="4" customWidth="1"/>
    <col min="18" max="16384" width="9.140625" style="4"/>
  </cols>
  <sheetData>
    <row r="1" spans="1:17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7" x14ac:dyDescent="0.3">
      <c r="B2" s="5"/>
    </row>
    <row r="3" spans="1:17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7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7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7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7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7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7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17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17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1">
        <f>'1st Iteration'!C270</f>
        <v>364.50796090062676</v>
      </c>
      <c r="I11" s="10" t="s">
        <v>7</v>
      </c>
    </row>
    <row r="12" spans="1:17" ht="23.25" thickBot="1" x14ac:dyDescent="0.35">
      <c r="A12" s="8" t="s">
        <v>10</v>
      </c>
      <c r="B12" s="9" t="s">
        <v>317</v>
      </c>
      <c r="C12" s="10"/>
      <c r="D12" s="10"/>
      <c r="E12" s="10"/>
      <c r="H12" s="21">
        <f>H10+H11</f>
        <v>32764.507960900628</v>
      </c>
      <c r="I12" s="10" t="s">
        <v>7</v>
      </c>
    </row>
    <row r="13" spans="1:17" ht="19.5" thickBot="1" x14ac:dyDescent="0.35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</row>
    <row r="14" spans="1:17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</row>
    <row r="15" spans="1:17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</row>
    <row r="16" spans="1:17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</row>
    <row r="17" spans="1:17" ht="19.5" thickBot="1" x14ac:dyDescent="0.35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</row>
    <row r="18" spans="1:17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</row>
    <row r="19" spans="1:17" ht="19.5" thickBot="1" x14ac:dyDescent="0.35">
      <c r="A19" s="1" t="s">
        <v>17</v>
      </c>
      <c r="B19" s="4" t="s">
        <v>18</v>
      </c>
      <c r="H19" s="33">
        <f>3%</f>
        <v>0.03</v>
      </c>
    </row>
    <row r="20" spans="1:17" ht="23.25" thickBot="1" x14ac:dyDescent="0.35">
      <c r="B20" s="4" t="s">
        <v>218</v>
      </c>
      <c r="H20" s="38">
        <v>2.65</v>
      </c>
      <c r="I20" s="4" t="s">
        <v>174</v>
      </c>
    </row>
    <row r="21" spans="1:17" ht="19.5" thickBot="1" x14ac:dyDescent="0.35">
      <c r="B21" s="4" t="s">
        <v>219</v>
      </c>
      <c r="H21" s="33">
        <f>0.01</f>
        <v>0.01</v>
      </c>
    </row>
    <row r="22" spans="1:17" ht="19.5" thickBot="1" x14ac:dyDescent="0.35">
      <c r="A22" s="1">
        <v>4</v>
      </c>
      <c r="B22" s="5" t="s">
        <v>19</v>
      </c>
    </row>
    <row r="23" spans="1:17" ht="19.5" thickBot="1" x14ac:dyDescent="0.35">
      <c r="A23" s="1" t="s">
        <v>6</v>
      </c>
      <c r="B23" s="5" t="s">
        <v>20</v>
      </c>
      <c r="H23" s="33">
        <f>0.04</f>
        <v>0.04</v>
      </c>
    </row>
    <row r="24" spans="1:17" ht="19.5" thickBot="1" x14ac:dyDescent="0.35">
      <c r="A24" s="1" t="s">
        <v>8</v>
      </c>
      <c r="B24" s="5" t="s">
        <v>21</v>
      </c>
      <c r="H24" s="33">
        <v>0.05</v>
      </c>
    </row>
    <row r="25" spans="1:17" ht="19.5" thickBot="1" x14ac:dyDescent="0.35">
      <c r="B25" s="5" t="s">
        <v>215</v>
      </c>
      <c r="H25" s="35">
        <f>0.85</f>
        <v>0.85</v>
      </c>
    </row>
    <row r="26" spans="1:17" ht="19.5" thickBot="1" x14ac:dyDescent="0.35">
      <c r="B26" s="5" t="s">
        <v>216</v>
      </c>
      <c r="H26" s="35">
        <f>0.06</f>
        <v>0.06</v>
      </c>
    </row>
    <row r="27" spans="1:17" ht="19.5" thickBot="1" x14ac:dyDescent="0.35">
      <c r="A27" s="1" t="s">
        <v>10</v>
      </c>
      <c r="B27" s="5" t="s">
        <v>22</v>
      </c>
      <c r="H27" s="35">
        <f>0.9</f>
        <v>0.9</v>
      </c>
    </row>
    <row r="28" spans="1:17" ht="19.5" thickBot="1" x14ac:dyDescent="0.35">
      <c r="A28" s="1" t="s">
        <v>15</v>
      </c>
      <c r="B28" s="5" t="s">
        <v>23</v>
      </c>
      <c r="H28" s="34">
        <v>0.05</v>
      </c>
    </row>
    <row r="29" spans="1:17" ht="19.5" thickBot="1" x14ac:dyDescent="0.35">
      <c r="A29" s="1" t="s">
        <v>17</v>
      </c>
      <c r="B29" s="5" t="s">
        <v>24</v>
      </c>
      <c r="H29" s="11">
        <v>1</v>
      </c>
    </row>
    <row r="30" spans="1:17" ht="19.5" thickBot="1" x14ac:dyDescent="0.35">
      <c r="A30" s="1" t="s">
        <v>25</v>
      </c>
      <c r="B30" s="5" t="s">
        <v>26</v>
      </c>
      <c r="H30" s="12">
        <f>0.65</f>
        <v>0.65</v>
      </c>
    </row>
    <row r="31" spans="1:17" ht="21" thickBot="1" x14ac:dyDescent="0.4">
      <c r="A31" s="1" t="s">
        <v>27</v>
      </c>
      <c r="B31" s="5" t="s">
        <v>28</v>
      </c>
      <c r="H31" s="11">
        <f>0.68</f>
        <v>0.68</v>
      </c>
    </row>
    <row r="32" spans="1:17" ht="19.5" thickBot="1" x14ac:dyDescent="0.35">
      <c r="A32" s="1">
        <v>5</v>
      </c>
      <c r="B32" s="5" t="s">
        <v>29</v>
      </c>
    </row>
    <row r="33" spans="1:9" ht="24" thickBot="1" x14ac:dyDescent="0.4">
      <c r="A33" s="1" t="s">
        <v>6</v>
      </c>
      <c r="B33" s="4" t="s">
        <v>12</v>
      </c>
      <c r="H33" s="32">
        <v>10</v>
      </c>
      <c r="I33" s="4" t="s">
        <v>9</v>
      </c>
    </row>
    <row r="34" spans="1:9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</row>
    <row r="35" spans="1:9" ht="19.5" thickBot="1" x14ac:dyDescent="0.35">
      <c r="B35" s="5" t="s">
        <v>257</v>
      </c>
    </row>
    <row r="36" spans="1:9" ht="24" thickBot="1" x14ac:dyDescent="0.4">
      <c r="A36" s="1" t="s">
        <v>6</v>
      </c>
      <c r="B36" s="4" t="s">
        <v>12</v>
      </c>
      <c r="H36" s="32">
        <v>20</v>
      </c>
      <c r="I36" s="4" t="s">
        <v>9</v>
      </c>
    </row>
    <row r="37" spans="1:9" ht="21" thickBot="1" x14ac:dyDescent="0.4">
      <c r="A37" s="1" t="s">
        <v>8</v>
      </c>
      <c r="B37" s="4" t="s">
        <v>13</v>
      </c>
      <c r="H37" s="32">
        <v>30</v>
      </c>
      <c r="I37" s="4" t="str">
        <f>I36</f>
        <v>g/m3</v>
      </c>
    </row>
    <row r="38" spans="1:9" x14ac:dyDescent="0.3">
      <c r="A38" s="1">
        <v>6</v>
      </c>
      <c r="B38" s="5" t="s">
        <v>30</v>
      </c>
    </row>
    <row r="39" spans="1:9" ht="19.5" thickBot="1" x14ac:dyDescent="0.35">
      <c r="B39" s="5" t="s">
        <v>31</v>
      </c>
    </row>
    <row r="40" spans="1:9" ht="19.5" thickBot="1" x14ac:dyDescent="0.35">
      <c r="A40" s="1" t="s">
        <v>6</v>
      </c>
      <c r="B40" s="5" t="s">
        <v>32</v>
      </c>
      <c r="H40" s="33">
        <f>0.33</f>
        <v>0.33</v>
      </c>
    </row>
    <row r="41" spans="1:9" ht="19.5" thickBot="1" x14ac:dyDescent="0.35">
      <c r="A41" s="1" t="s">
        <v>8</v>
      </c>
      <c r="B41" s="5" t="s">
        <v>33</v>
      </c>
      <c r="H41" s="33">
        <f>0.5</f>
        <v>0.5</v>
      </c>
    </row>
    <row r="42" spans="1:9" ht="21" thickBot="1" x14ac:dyDescent="0.4">
      <c r="A42" s="1" t="s">
        <v>10</v>
      </c>
      <c r="B42" s="5" t="s">
        <v>34</v>
      </c>
      <c r="H42" s="12">
        <f>0.85</f>
        <v>0.85</v>
      </c>
    </row>
    <row r="43" spans="1:9" x14ac:dyDescent="0.3">
      <c r="A43" s="1">
        <v>7</v>
      </c>
      <c r="B43" s="5" t="s">
        <v>35</v>
      </c>
    </row>
    <row r="44" spans="1:9" ht="19.5" thickBot="1" x14ac:dyDescent="0.35">
      <c r="B44" s="5" t="s">
        <v>36</v>
      </c>
    </row>
    <row r="45" spans="1:9" ht="21" thickBot="1" x14ac:dyDescent="0.4">
      <c r="A45" s="1" t="s">
        <v>6</v>
      </c>
      <c r="B45" s="5" t="s">
        <v>37</v>
      </c>
      <c r="H45" s="11">
        <f>0.8</f>
        <v>0.8</v>
      </c>
    </row>
    <row r="46" spans="1:9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9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9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'1st Iteration'!H54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0.9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31">
        <f>'1st Iteration'!D270</f>
        <v>769.47302353600685</v>
      </c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10489.473023536008</v>
      </c>
      <c r="I75" s="4" t="s">
        <v>63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31">
        <f>'1st Iteration'!E270</f>
        <v>2861.1255363063428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15821.125536306343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15173.125536306343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3455.3315806468822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7015.3701788891258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7586.5627681531714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7586.5627681531714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10600.154109325251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6448.5783529301953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4132.1357563950551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189.66406920382929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0.54466507200611458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107.47630588216992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82.187763321659361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6448.5783529301953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1137.9844152229762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13846.153846153849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7282.0882180952904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598.49854295625994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31555.715611746258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3391.491743418806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32764.507960900628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7015.3701788891258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214.1149254327544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2759.8929956362749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3449.8662445453433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655.2901592180126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982.93523882701891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2180.3154665526577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2725.3943331908217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1742.4590943638027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248.92272776625754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1568.2131849274224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31.364263698548449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217.55846406770908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1568.2131849274224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50000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1211.4133210927353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174.24590943638032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800.91533180778049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502.6864988558354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109.36370259864975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4" ht="21" thickBot="1" x14ac:dyDescent="0.4">
      <c r="B193" s="4" t="s">
        <v>118</v>
      </c>
      <c r="H193" s="21">
        <f>H129+H174</f>
        <v>8016.7915378576181</v>
      </c>
      <c r="I193" s="4" t="s">
        <v>63</v>
      </c>
    </row>
    <row r="194" spans="1:24" ht="23.25" thickBot="1" x14ac:dyDescent="0.35">
      <c r="B194" s="4" t="s">
        <v>143</v>
      </c>
      <c r="H194" s="21">
        <f>(H129/(H125*H126*H68))+(H174/(H165*H167*H68))</f>
        <v>138.84056958071838</v>
      </c>
      <c r="I194" s="4" t="s">
        <v>7</v>
      </c>
    </row>
    <row r="195" spans="1:24" ht="21" thickBot="1" x14ac:dyDescent="0.4">
      <c r="A195" s="1" t="s">
        <v>91</v>
      </c>
      <c r="B195" s="4" t="s">
        <v>144</v>
      </c>
    </row>
    <row r="196" spans="1:24" ht="21" thickBot="1" x14ac:dyDescent="0.4">
      <c r="B196" s="4" t="s">
        <v>145</v>
      </c>
      <c r="H196" s="21">
        <f>(H129*H122)+(H174*H140)</f>
        <v>4766.8859408777344</v>
      </c>
      <c r="I196" s="4" t="s">
        <v>63</v>
      </c>
    </row>
    <row r="197" spans="1:24" ht="21" thickBot="1" x14ac:dyDescent="0.4">
      <c r="B197" s="4" t="s">
        <v>146</v>
      </c>
      <c r="H197" s="22">
        <f>H196/H193</f>
        <v>0.59461268493350672</v>
      </c>
    </row>
    <row r="198" spans="1:24" ht="19.5" thickBot="1" x14ac:dyDescent="0.35">
      <c r="A198" s="1" t="s">
        <v>122</v>
      </c>
      <c r="B198" s="4" t="s">
        <v>147</v>
      </c>
    </row>
    <row r="199" spans="1:24" ht="21" thickBot="1" x14ac:dyDescent="0.4">
      <c r="B199" s="4" t="s">
        <v>145</v>
      </c>
      <c r="H199" s="21">
        <f>H196*H188</f>
        <v>2860.1315645266404</v>
      </c>
      <c r="I199" s="4" t="s">
        <v>63</v>
      </c>
    </row>
    <row r="200" spans="1:24" ht="19.5" thickBot="1" x14ac:dyDescent="0.35">
      <c r="A200" s="1" t="s">
        <v>95</v>
      </c>
      <c r="B200" s="4" t="s">
        <v>148</v>
      </c>
    </row>
    <row r="201" spans="1:24" ht="19.5" thickBot="1" x14ac:dyDescent="0.35">
      <c r="B201" s="4" t="s">
        <v>149</v>
      </c>
      <c r="H201" s="21">
        <f>(H129/H125)</f>
        <v>107476.30588216992</v>
      </c>
      <c r="I201" s="4" t="s">
        <v>63</v>
      </c>
      <c r="K201" s="4" t="s">
        <v>150</v>
      </c>
    </row>
    <row r="202" spans="1:24" ht="19.5" thickBot="1" x14ac:dyDescent="0.35">
      <c r="B202" s="4" t="s">
        <v>151</v>
      </c>
      <c r="H202" s="21">
        <f>H174/H165</f>
        <v>31364.263698548446</v>
      </c>
      <c r="I202" s="4" t="s">
        <v>63</v>
      </c>
      <c r="K202" s="4" t="s">
        <v>152</v>
      </c>
    </row>
    <row r="204" spans="1:24" ht="19.5" thickBot="1" x14ac:dyDescent="0.35">
      <c r="B204" s="4" t="s">
        <v>153</v>
      </c>
    </row>
    <row r="205" spans="1:24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  <c r="U205" s="24"/>
      <c r="V205" s="24"/>
      <c r="W205" s="24"/>
      <c r="X205" s="24"/>
    </row>
    <row r="206" spans="1:24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  <c r="U206" s="24"/>
      <c r="V206" s="24"/>
      <c r="W206" s="24"/>
      <c r="X206" s="24"/>
    </row>
    <row r="207" spans="1:24" ht="21" thickBot="1" x14ac:dyDescent="0.4">
      <c r="B207" s="4" t="s">
        <v>157</v>
      </c>
      <c r="H207" s="21">
        <f>H178+H135</f>
        <v>4602.9050645115412</v>
      </c>
      <c r="I207" s="4" t="s">
        <v>63</v>
      </c>
      <c r="J207" s="4" t="s">
        <v>158</v>
      </c>
      <c r="Q207" s="24"/>
      <c r="R207" s="24"/>
      <c r="S207" s="24"/>
      <c r="T207" s="24"/>
      <c r="U207" s="24"/>
      <c r="V207" s="24"/>
      <c r="W207" s="24"/>
      <c r="X207" s="24"/>
    </row>
    <row r="208" spans="1:24" ht="21" thickBot="1" x14ac:dyDescent="0.4">
      <c r="B208" s="4" t="s">
        <v>85</v>
      </c>
      <c r="H208" s="21">
        <f>H207*(1-H188)</f>
        <v>1841.1620258046166</v>
      </c>
      <c r="I208" s="4" t="s">
        <v>63</v>
      </c>
      <c r="J208" s="4" t="s">
        <v>159</v>
      </c>
      <c r="Q208" s="24"/>
      <c r="R208" s="24"/>
      <c r="S208" s="24"/>
      <c r="T208" s="24"/>
      <c r="U208" s="24"/>
      <c r="V208" s="24"/>
      <c r="W208" s="24"/>
      <c r="X208" s="24"/>
    </row>
    <row r="209" spans="1:24" ht="23.25" thickBot="1" x14ac:dyDescent="0.35">
      <c r="B209" s="4" t="s">
        <v>160</v>
      </c>
      <c r="H209" s="31">
        <f>$H$194</f>
        <v>138.84056958071838</v>
      </c>
      <c r="I209" s="4" t="s">
        <v>7</v>
      </c>
      <c r="J209" s="4" t="s">
        <v>161</v>
      </c>
      <c r="Q209" s="24"/>
      <c r="R209" s="24"/>
      <c r="S209" s="24"/>
      <c r="T209" s="24"/>
      <c r="U209" s="24"/>
      <c r="V209" s="24"/>
      <c r="W209" s="24"/>
      <c r="X209" s="24"/>
    </row>
    <row r="210" spans="1:24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  <c r="U210" s="24"/>
      <c r="V210" s="24"/>
      <c r="W210" s="24"/>
      <c r="X210" s="24"/>
    </row>
    <row r="211" spans="1:24" ht="21" thickBot="1" x14ac:dyDescent="0.4">
      <c r="B211" s="4" t="s">
        <v>163</v>
      </c>
      <c r="H211" s="21">
        <f>(H205*(H207-H208))/(1+(H206*H210))</f>
        <v>138.08715193534621</v>
      </c>
      <c r="I211" s="4" t="s">
        <v>63</v>
      </c>
      <c r="J211" s="4" t="s">
        <v>164</v>
      </c>
      <c r="Q211" s="24"/>
      <c r="R211" s="24"/>
      <c r="S211" s="24"/>
      <c r="T211" s="24"/>
      <c r="U211" s="24"/>
      <c r="V211" s="24"/>
      <c r="W211" s="24"/>
      <c r="X211" s="24"/>
    </row>
    <row r="212" spans="1:24" ht="24" thickBot="1" x14ac:dyDescent="0.4">
      <c r="B212" s="4" t="s">
        <v>165</v>
      </c>
      <c r="H212" s="21">
        <f>((H207-H208)-(1.42*H211))*0.35</f>
        <v>897.9807490355563</v>
      </c>
      <c r="I212" s="4" t="s">
        <v>7</v>
      </c>
      <c r="Q212" s="24"/>
      <c r="R212" s="24"/>
      <c r="S212" s="24"/>
      <c r="T212" s="24"/>
      <c r="U212" s="24"/>
      <c r="V212" s="24"/>
      <c r="W212" s="24"/>
      <c r="X212" s="24"/>
    </row>
    <row r="213" spans="1:24" ht="24" thickBot="1" x14ac:dyDescent="0.4">
      <c r="B213" s="4" t="s">
        <v>166</v>
      </c>
      <c r="H213" s="21">
        <f>H212/0.65</f>
        <v>1381.5088446700865</v>
      </c>
      <c r="I213" s="4" t="s">
        <v>7</v>
      </c>
      <c r="J213" s="4" t="s">
        <v>167</v>
      </c>
      <c r="Q213" s="24"/>
      <c r="R213" s="24"/>
      <c r="S213" s="24"/>
      <c r="T213" s="24"/>
      <c r="U213" s="24"/>
      <c r="V213" s="24"/>
      <c r="W213" s="24"/>
      <c r="X213" s="24"/>
    </row>
    <row r="214" spans="1:24" ht="23.25" thickBot="1" x14ac:dyDescent="0.35">
      <c r="B214" s="4" t="s">
        <v>168</v>
      </c>
      <c r="H214" s="21">
        <f>H213*1.12</f>
        <v>1547.2899060304971</v>
      </c>
      <c r="I214" s="4" t="s">
        <v>63</v>
      </c>
      <c r="J214" s="4" t="s">
        <v>245</v>
      </c>
      <c r="Q214" s="24"/>
      <c r="R214" s="24"/>
      <c r="S214" s="24"/>
      <c r="T214" s="24"/>
      <c r="U214" s="24"/>
      <c r="V214" s="24"/>
      <c r="W214" s="24"/>
      <c r="X214" s="24"/>
    </row>
    <row r="216" spans="1:24" x14ac:dyDescent="0.3">
      <c r="A216" s="1" t="s">
        <v>169</v>
      </c>
      <c r="B216" s="4" t="s">
        <v>170</v>
      </c>
    </row>
    <row r="217" spans="1:24" ht="21" thickBot="1" x14ac:dyDescent="0.4">
      <c r="B217" s="4" t="s">
        <v>171</v>
      </c>
    </row>
    <row r="218" spans="1:24" ht="19.5" thickBot="1" x14ac:dyDescent="0.35">
      <c r="B218" s="4" t="s">
        <v>172</v>
      </c>
      <c r="H218" s="21">
        <f>H193-H196</f>
        <v>3249.9055969798837</v>
      </c>
      <c r="I218" s="4" t="s">
        <v>63</v>
      </c>
    </row>
    <row r="219" spans="1:24" ht="21" thickBot="1" x14ac:dyDescent="0.4">
      <c r="B219" s="4" t="s">
        <v>173</v>
      </c>
      <c r="H219" s="21">
        <f>H218+(H196-H199)</f>
        <v>5156.6599733309777</v>
      </c>
      <c r="I219" s="4" t="s">
        <v>63</v>
      </c>
    </row>
    <row r="221" spans="1:24" ht="19.5" thickBot="1" x14ac:dyDescent="0.35">
      <c r="B221" s="4" t="s">
        <v>175</v>
      </c>
    </row>
    <row r="222" spans="1:24" ht="19.5" thickBot="1" x14ac:dyDescent="0.35">
      <c r="B222" s="4" t="s">
        <v>176</v>
      </c>
      <c r="H222" s="21">
        <f>H201+H202</f>
        <v>138840.56958071838</v>
      </c>
      <c r="I222" s="4" t="s">
        <v>63</v>
      </c>
    </row>
    <row r="223" spans="1:24" ht="19.5" thickBot="1" x14ac:dyDescent="0.35">
      <c r="B223" s="4" t="s">
        <v>177</v>
      </c>
      <c r="H223" s="21">
        <f>H214</f>
        <v>1547.2899060304971</v>
      </c>
      <c r="I223" s="4" t="s">
        <v>63</v>
      </c>
    </row>
    <row r="224" spans="1:24" ht="19.5" thickBot="1" x14ac:dyDescent="0.35">
      <c r="B224" s="4" t="s">
        <v>178</v>
      </c>
      <c r="H224" s="21">
        <f>H222-H223</f>
        <v>137293.27967468789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189.77822337815749</v>
      </c>
      <c r="I234" s="4" t="s">
        <v>63</v>
      </c>
    </row>
    <row r="235" spans="1:9" ht="21" thickBot="1" x14ac:dyDescent="0.4">
      <c r="B235" s="4" t="s">
        <v>188</v>
      </c>
      <c r="H235" s="21">
        <f>H234</f>
        <v>189.77822337815749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4966.8817499528204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37.955644675631497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99.337634999056405</v>
      </c>
      <c r="I239" s="4" t="s">
        <v>7</v>
      </c>
    </row>
    <row r="241" spans="1:9" ht="19.5" thickBot="1" x14ac:dyDescent="0.35">
      <c r="A241" s="1" t="s">
        <v>192</v>
      </c>
      <c r="B241" s="4" t="s">
        <v>193</v>
      </c>
    </row>
    <row r="242" spans="1:9" ht="23.25" thickBot="1" x14ac:dyDescent="0.35">
      <c r="B242" s="4" t="s">
        <v>106</v>
      </c>
      <c r="H242" s="21">
        <f>H238</f>
        <v>37.955644675631497</v>
      </c>
      <c r="I242" s="4" t="s">
        <v>7</v>
      </c>
    </row>
    <row r="243" spans="1:9" ht="21" thickBot="1" x14ac:dyDescent="0.4">
      <c r="B243" s="4" t="s">
        <v>194</v>
      </c>
      <c r="H243" s="21">
        <f>(H242*H189)/(10^3)</f>
        <v>37.955644675631497</v>
      </c>
      <c r="I243" s="4" t="s">
        <v>63</v>
      </c>
    </row>
    <row r="244" spans="1:9" ht="21" thickBot="1" x14ac:dyDescent="0.4">
      <c r="B244" s="4" t="s">
        <v>188</v>
      </c>
      <c r="H244" s="21">
        <f>H235</f>
        <v>189.77822337815749</v>
      </c>
      <c r="I244" s="4" t="s">
        <v>63</v>
      </c>
    </row>
    <row r="246" spans="1:9" x14ac:dyDescent="0.3">
      <c r="A246" s="1" t="s">
        <v>25</v>
      </c>
      <c r="B246" s="4" t="s">
        <v>195</v>
      </c>
    </row>
    <row r="247" spans="1:9" ht="19.5" thickBot="1" x14ac:dyDescent="0.35">
      <c r="A247" s="1" t="s">
        <v>87</v>
      </c>
      <c r="B247" s="4" t="s">
        <v>196</v>
      </c>
    </row>
    <row r="248" spans="1:9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9" ht="19.5" thickBot="1" x14ac:dyDescent="0.35">
      <c r="B249" s="5" t="s">
        <v>55</v>
      </c>
      <c r="H249" s="44">
        <f>$H$62</f>
        <v>1.123</v>
      </c>
    </row>
    <row r="250" spans="1:9" ht="19.5" thickBot="1" x14ac:dyDescent="0.35">
      <c r="B250" s="5" t="s">
        <v>56</v>
      </c>
      <c r="H250" s="16">
        <f>$H$63</f>
        <v>0.9</v>
      </c>
    </row>
    <row r="251" spans="1:9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9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9" ht="19.5" thickBot="1" x14ac:dyDescent="0.35">
      <c r="A254" s="1" t="s">
        <v>115</v>
      </c>
      <c r="B254" s="4" t="s">
        <v>198</v>
      </c>
    </row>
    <row r="255" spans="1:9" ht="19.5" thickBot="1" x14ac:dyDescent="0.35">
      <c r="B255" s="4" t="s">
        <v>199</v>
      </c>
      <c r="H255" s="21">
        <f>H236*H250</f>
        <v>4470.1935749575387</v>
      </c>
      <c r="I255" s="4" t="s">
        <v>63</v>
      </c>
    </row>
    <row r="256" spans="1:9" ht="23.25" thickBot="1" x14ac:dyDescent="0.35">
      <c r="B256" s="4" t="s">
        <v>223</v>
      </c>
      <c r="H256" s="21">
        <f>H255/(H249*H248*1000)</f>
        <v>18.09355450075908</v>
      </c>
      <c r="I256" s="4" t="s">
        <v>7</v>
      </c>
    </row>
    <row r="258" spans="1:9" ht="19.5" thickBot="1" x14ac:dyDescent="0.35">
      <c r="A258" s="1" t="s">
        <v>91</v>
      </c>
      <c r="B258" s="4" t="s">
        <v>200</v>
      </c>
    </row>
    <row r="259" spans="1:9" ht="23.25" thickBot="1" x14ac:dyDescent="0.35">
      <c r="B259" s="4" t="s">
        <v>201</v>
      </c>
      <c r="H259" s="21">
        <f>H239-H256</f>
        <v>81.244080498297322</v>
      </c>
      <c r="I259" s="4" t="s">
        <v>7</v>
      </c>
    </row>
    <row r="260" spans="1:9" ht="21" thickBot="1" x14ac:dyDescent="0.4">
      <c r="B260" s="4" t="s">
        <v>202</v>
      </c>
      <c r="H260" s="21">
        <f>(H259*H251)/(10^3)</f>
        <v>162.48816099659464</v>
      </c>
      <c r="I260" s="4" t="s">
        <v>63</v>
      </c>
    </row>
    <row r="261" spans="1:9" ht="21" thickBot="1" x14ac:dyDescent="0.4">
      <c r="B261" s="4" t="s">
        <v>203</v>
      </c>
      <c r="H261" s="21">
        <f>H236-H255</f>
        <v>496.68817499528177</v>
      </c>
      <c r="I261" s="4" t="s">
        <v>63</v>
      </c>
    </row>
    <row r="263" spans="1:9" x14ac:dyDescent="0.3">
      <c r="A263" s="1" t="s">
        <v>27</v>
      </c>
      <c r="B263" s="4" t="s">
        <v>204</v>
      </c>
    </row>
    <row r="265" spans="1:9" x14ac:dyDescent="0.3">
      <c r="F265" s="4" t="s">
        <v>214</v>
      </c>
    </row>
    <row r="266" spans="1:9" ht="23.25" x14ac:dyDescent="0.35">
      <c r="B266" s="28" t="s">
        <v>205</v>
      </c>
      <c r="C266" s="28" t="s">
        <v>206</v>
      </c>
      <c r="D266" s="28" t="s">
        <v>207</v>
      </c>
      <c r="E266" s="28" t="s">
        <v>208</v>
      </c>
      <c r="F266" s="28" t="s">
        <v>206</v>
      </c>
      <c r="G266" s="28" t="s">
        <v>207</v>
      </c>
      <c r="H266" s="28" t="s">
        <v>208</v>
      </c>
    </row>
    <row r="267" spans="1:9" x14ac:dyDescent="0.3">
      <c r="B267" s="28" t="s">
        <v>247</v>
      </c>
      <c r="C267" s="29">
        <f>H128</f>
        <v>82.187763321659361</v>
      </c>
      <c r="D267" s="29">
        <f>H133</f>
        <v>598.49854295625994</v>
      </c>
      <c r="E267" s="45">
        <f>H130</f>
        <v>1137.9844152229762</v>
      </c>
      <c r="F267" s="29">
        <f>C267-'1st Iteration'!C266</f>
        <v>15.497763321659349</v>
      </c>
      <c r="G267" s="29">
        <f>D267-'1st Iteration'!D266</f>
        <v>101.52932855625954</v>
      </c>
      <c r="H267" s="29">
        <f>E267-'1st Iteration'!E266</f>
        <v>214.58441522297562</v>
      </c>
    </row>
    <row r="268" spans="1:9" x14ac:dyDescent="0.3">
      <c r="B268" s="28" t="s">
        <v>209</v>
      </c>
      <c r="C268" s="29">
        <f>H172</f>
        <v>217.55846406770908</v>
      </c>
      <c r="D268" s="29">
        <f>H184</f>
        <v>109.36370259864975</v>
      </c>
      <c r="E268" s="45">
        <f>H180</f>
        <v>174.24590943638032</v>
      </c>
      <c r="F268" s="29">
        <f>C268-'1st Iteration'!C267</f>
        <v>23.758263334066186</v>
      </c>
      <c r="G268" s="29">
        <f>D268-'1st Iteration'!D267</f>
        <v>11.94295821429678</v>
      </c>
      <c r="H268" s="29">
        <f>E268-'1st Iteration'!E267</f>
        <v>19.028357361380358</v>
      </c>
    </row>
    <row r="269" spans="1:9" x14ac:dyDescent="0.3">
      <c r="B269" s="28" t="s">
        <v>210</v>
      </c>
      <c r="C269" s="29">
        <f>H238</f>
        <v>37.955644675631497</v>
      </c>
      <c r="D269" s="29">
        <f>H243</f>
        <v>37.955644675631497</v>
      </c>
      <c r="E269" s="45">
        <f>H244</f>
        <v>189.77822337815749</v>
      </c>
      <c r="F269" s="29">
        <f>C269-'1st Iteration'!C268</f>
        <v>5.0031890933172249</v>
      </c>
      <c r="G269" s="29">
        <f>D269-'1st Iteration'!D268</f>
        <v>5.0031890933172249</v>
      </c>
      <c r="H269" s="29">
        <f>E269-'1st Iteration'!E268</f>
        <v>25.015945466586146</v>
      </c>
    </row>
    <row r="270" spans="1:9" x14ac:dyDescent="0.3">
      <c r="B270" s="28" t="s">
        <v>211</v>
      </c>
      <c r="C270" s="29">
        <f>H259</f>
        <v>81.244080498297322</v>
      </c>
      <c r="D270" s="29">
        <f>H260</f>
        <v>162.48816099659464</v>
      </c>
      <c r="E270" s="45">
        <f>H261</f>
        <v>496.68817499528177</v>
      </c>
      <c r="F270" s="29">
        <f>C270-'1st Iteration'!C269</f>
        <v>10.178775913627703</v>
      </c>
      <c r="G270" s="29">
        <f>D270-'1st Iteration'!D269</f>
        <v>20.357551827255406</v>
      </c>
      <c r="H270" s="29">
        <f>E270-'1st Iteration'!E269</f>
        <v>-1121.0575313244894</v>
      </c>
    </row>
    <row r="271" spans="1:9" x14ac:dyDescent="0.3">
      <c r="B271" s="28" t="s">
        <v>212</v>
      </c>
      <c r="C271" s="29">
        <f>SUM(C267:C270)</f>
        <v>418.94595256329723</v>
      </c>
      <c r="D271" s="29">
        <f t="shared" ref="D271:E271" si="0">SUM(D267:D270)</f>
        <v>908.30605122713575</v>
      </c>
      <c r="E271" s="45">
        <f t="shared" si="0"/>
        <v>1998.6967230327957</v>
      </c>
      <c r="F271" s="29">
        <f>SUM(F267:F270)</f>
        <v>54.437991662670463</v>
      </c>
      <c r="G271" s="29">
        <f t="shared" ref="G271:H271" si="1">SUM(G267:G270)</f>
        <v>138.83302769112896</v>
      </c>
      <c r="H271" s="29">
        <f t="shared" si="1"/>
        <v>-862.42881327354735</v>
      </c>
    </row>
    <row r="272" spans="1:9" x14ac:dyDescent="0.3">
      <c r="F272" s="46">
        <f>F271/C271</f>
        <v>0.12994036898935216</v>
      </c>
      <c r="G272" s="46">
        <f t="shared" ref="G272:H272" si="2">G271/D271</f>
        <v>0.15284829106176642</v>
      </c>
      <c r="H272" s="46">
        <f t="shared" si="2"/>
        <v>-0.4314955857659632</v>
      </c>
    </row>
  </sheetData>
  <mergeCells count="5">
    <mergeCell ref="M13:Q13"/>
    <mergeCell ref="N14:Q14"/>
    <mergeCell ref="N15:Q15"/>
    <mergeCell ref="N16:Q16"/>
    <mergeCell ref="N17:Q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1AB68-2BB3-46BA-A892-48342027A69F}">
  <dimension ref="A1:X270"/>
  <sheetViews>
    <sheetView topLeftCell="A201" zoomScale="70" zoomScaleNormal="70" workbookViewId="0">
      <selection activeCell="A217" sqref="A217"/>
    </sheetView>
  </sheetViews>
  <sheetFormatPr defaultRowHeight="18.75" x14ac:dyDescent="0.3"/>
  <cols>
    <col min="1" max="1" width="5" style="1" bestFit="1" customWidth="1"/>
    <col min="2" max="2" width="24.140625" style="4" customWidth="1"/>
    <col min="3" max="3" width="18.42578125" style="4" customWidth="1"/>
    <col min="4" max="4" width="16.5703125" style="4" customWidth="1"/>
    <col min="5" max="5" width="14.42578125" style="4" customWidth="1"/>
    <col min="6" max="6" width="10.140625" style="4" customWidth="1"/>
    <col min="7" max="7" width="10.7109375" style="4" bestFit="1" customWidth="1"/>
    <col min="8" max="8" width="18.85546875" style="4" customWidth="1"/>
    <col min="9" max="11" width="9.140625" style="4"/>
    <col min="12" max="12" width="28.140625" style="4" bestFit="1" customWidth="1"/>
    <col min="13" max="13" width="9.140625" style="4"/>
    <col min="14" max="14" width="11.5703125" style="4" bestFit="1" customWidth="1"/>
    <col min="15" max="16" width="9.140625" style="4"/>
    <col min="17" max="17" width="11.5703125" style="4" customWidth="1"/>
    <col min="18" max="18" width="9.140625" style="4"/>
    <col min="19" max="19" width="48.140625" style="4" customWidth="1"/>
    <col min="20" max="20" width="56.42578125" style="4" customWidth="1"/>
    <col min="21" max="16384" width="9.140625" style="4"/>
  </cols>
  <sheetData>
    <row r="1" spans="1:20" x14ac:dyDescent="0.3">
      <c r="B1" s="2" t="s">
        <v>256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20" x14ac:dyDescent="0.3">
      <c r="B2" s="5"/>
    </row>
    <row r="3" spans="1:20" x14ac:dyDescent="0.3">
      <c r="A3" s="1">
        <v>1</v>
      </c>
      <c r="B3" s="6" t="s">
        <v>0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20" ht="23.25" x14ac:dyDescent="0.35">
      <c r="B4" s="6" t="s">
        <v>1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20" ht="20.25" x14ac:dyDescent="0.3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20" ht="23.25" x14ac:dyDescent="0.35">
      <c r="B6" s="6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20" ht="20.25" x14ac:dyDescent="0.35">
      <c r="B7" s="6" t="s">
        <v>4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20" x14ac:dyDescent="0.3">
      <c r="B8" s="6"/>
      <c r="C8" s="7"/>
      <c r="D8" s="7"/>
      <c r="E8" s="7"/>
      <c r="F8" s="7"/>
      <c r="G8" s="7"/>
      <c r="H8" s="7"/>
      <c r="I8" s="7"/>
      <c r="J8" s="7"/>
      <c r="K8" s="7"/>
      <c r="L8" s="7"/>
    </row>
    <row r="9" spans="1:20" ht="19.5" thickBot="1" x14ac:dyDescent="0.35">
      <c r="A9" s="8">
        <v>2</v>
      </c>
      <c r="B9" s="9" t="s">
        <v>5</v>
      </c>
      <c r="C9" s="10"/>
      <c r="D9" s="10"/>
      <c r="E9" s="10"/>
      <c r="F9" s="10"/>
      <c r="G9" s="10"/>
      <c r="H9" s="10"/>
      <c r="I9" s="10"/>
    </row>
    <row r="10" spans="1:20" ht="23.25" thickBot="1" x14ac:dyDescent="0.35">
      <c r="A10" s="8" t="s">
        <v>6</v>
      </c>
      <c r="B10" s="9" t="s">
        <v>253</v>
      </c>
      <c r="C10" s="10"/>
      <c r="D10" s="10"/>
      <c r="E10" s="10"/>
      <c r="F10" s="10"/>
      <c r="G10" s="10"/>
      <c r="H10" s="32">
        <v>32400</v>
      </c>
      <c r="I10" s="10" t="s">
        <v>7</v>
      </c>
    </row>
    <row r="11" spans="1:20" ht="23.25" thickBot="1" x14ac:dyDescent="0.35">
      <c r="A11" s="8" t="s">
        <v>8</v>
      </c>
      <c r="B11" s="9" t="s">
        <v>254</v>
      </c>
      <c r="C11" s="10"/>
      <c r="D11" s="10"/>
      <c r="E11" s="10"/>
      <c r="F11" s="10"/>
      <c r="G11" s="10"/>
      <c r="H11" s="32">
        <f>0</f>
        <v>0</v>
      </c>
      <c r="I11" s="10" t="s">
        <v>7</v>
      </c>
    </row>
    <row r="12" spans="1:20" ht="23.25" thickBot="1" x14ac:dyDescent="0.35">
      <c r="A12" s="8" t="s">
        <v>10</v>
      </c>
      <c r="B12" s="9" t="s">
        <v>255</v>
      </c>
      <c r="C12" s="10"/>
      <c r="D12" s="10"/>
      <c r="E12" s="10"/>
      <c r="H12" s="14">
        <f>H10+H11</f>
        <v>32400</v>
      </c>
      <c r="I12" s="10" t="s">
        <v>7</v>
      </c>
    </row>
    <row r="13" spans="1:20" ht="24" thickBot="1" x14ac:dyDescent="0.4">
      <c r="A13" s="1">
        <v>3</v>
      </c>
      <c r="B13" s="5" t="s">
        <v>11</v>
      </c>
      <c r="M13" s="91" t="s">
        <v>252</v>
      </c>
      <c r="N13" s="92"/>
      <c r="O13" s="92"/>
      <c r="P13" s="92"/>
      <c r="Q13" s="93"/>
      <c r="S13" s="96" t="s">
        <v>277</v>
      </c>
      <c r="T13" s="96"/>
    </row>
    <row r="14" spans="1:20" ht="24" thickBot="1" x14ac:dyDescent="0.4">
      <c r="A14" s="1" t="s">
        <v>6</v>
      </c>
      <c r="B14" s="4" t="s">
        <v>12</v>
      </c>
      <c r="H14" s="32">
        <v>300</v>
      </c>
      <c r="I14" s="4" t="s">
        <v>9</v>
      </c>
      <c r="M14" s="32"/>
      <c r="N14" s="94" t="s">
        <v>248</v>
      </c>
      <c r="O14" s="94"/>
      <c r="P14" s="94"/>
      <c r="Q14" s="95"/>
      <c r="S14" s="65" t="s">
        <v>275</v>
      </c>
      <c r="T14" s="66" t="s">
        <v>276</v>
      </c>
    </row>
    <row r="15" spans="1:20" ht="24" thickBot="1" x14ac:dyDescent="0.4">
      <c r="A15" s="1" t="s">
        <v>8</v>
      </c>
      <c r="B15" s="4" t="s">
        <v>13</v>
      </c>
      <c r="H15" s="32">
        <f>400</f>
        <v>400</v>
      </c>
      <c r="I15" s="4" t="s">
        <v>9</v>
      </c>
      <c r="M15" s="11"/>
      <c r="N15" s="94" t="s">
        <v>249</v>
      </c>
      <c r="O15" s="94"/>
      <c r="P15" s="94"/>
      <c r="Q15" s="95"/>
      <c r="S15" s="58" t="s">
        <v>253</v>
      </c>
      <c r="T15" s="60" t="s">
        <v>297</v>
      </c>
    </row>
    <row r="16" spans="1:20" ht="21" thickBot="1" x14ac:dyDescent="0.4">
      <c r="A16" s="1" t="s">
        <v>10</v>
      </c>
      <c r="B16" s="4" t="s">
        <v>14</v>
      </c>
      <c r="H16" s="12">
        <f>67%</f>
        <v>0.67</v>
      </c>
      <c r="M16" s="14"/>
      <c r="N16" s="94" t="s">
        <v>250</v>
      </c>
      <c r="O16" s="94"/>
      <c r="P16" s="94"/>
      <c r="Q16" s="95"/>
      <c r="S16" s="58" t="s">
        <v>11</v>
      </c>
      <c r="T16" s="60" t="s">
        <v>302</v>
      </c>
    </row>
    <row r="17" spans="1:20" ht="21" thickBot="1" x14ac:dyDescent="0.4">
      <c r="B17" s="4" t="s">
        <v>217</v>
      </c>
      <c r="H17" s="33">
        <f>0.05</f>
        <v>0.05</v>
      </c>
      <c r="M17" s="17"/>
      <c r="N17" s="94" t="s">
        <v>251</v>
      </c>
      <c r="O17" s="94"/>
      <c r="P17" s="94"/>
      <c r="Q17" s="95"/>
      <c r="S17" s="59" t="s">
        <v>279</v>
      </c>
      <c r="T17" s="58" t="s">
        <v>301</v>
      </c>
    </row>
    <row r="18" spans="1:20" ht="24" thickBot="1" x14ac:dyDescent="0.4">
      <c r="A18" s="1" t="s">
        <v>15</v>
      </c>
      <c r="B18" s="4" t="s">
        <v>16</v>
      </c>
      <c r="H18" s="14">
        <f>H15-(H17*H15)</f>
        <v>380</v>
      </c>
      <c r="I18" s="4" t="s">
        <v>9</v>
      </c>
      <c r="S18" s="59" t="s">
        <v>278</v>
      </c>
      <c r="T18" s="62" t="s">
        <v>304</v>
      </c>
    </row>
    <row r="19" spans="1:20" ht="19.5" thickBot="1" x14ac:dyDescent="0.35">
      <c r="A19" s="1" t="s">
        <v>17</v>
      </c>
      <c r="B19" s="4" t="s">
        <v>18</v>
      </c>
      <c r="H19" s="33">
        <f>3%</f>
        <v>0.03</v>
      </c>
      <c r="S19" s="59" t="s">
        <v>286</v>
      </c>
      <c r="T19" s="62" t="s">
        <v>305</v>
      </c>
    </row>
    <row r="20" spans="1:20" ht="23.25" thickBot="1" x14ac:dyDescent="0.35">
      <c r="B20" s="4" t="s">
        <v>218</v>
      </c>
      <c r="H20" s="38">
        <v>2.65</v>
      </c>
      <c r="I20" s="4" t="s">
        <v>174</v>
      </c>
      <c r="S20" s="59" t="s">
        <v>280</v>
      </c>
      <c r="T20" s="62" t="s">
        <v>306</v>
      </c>
    </row>
    <row r="21" spans="1:20" ht="19.5" thickBot="1" x14ac:dyDescent="0.35">
      <c r="B21" s="4" t="s">
        <v>219</v>
      </c>
      <c r="H21" s="33">
        <f>0.01</f>
        <v>0.01</v>
      </c>
      <c r="S21" s="60" t="s">
        <v>288</v>
      </c>
      <c r="T21" s="67" t="s">
        <v>298</v>
      </c>
    </row>
    <row r="22" spans="1:20" ht="19.5" thickBot="1" x14ac:dyDescent="0.35">
      <c r="A22" s="1">
        <v>4</v>
      </c>
      <c r="B22" s="5" t="s">
        <v>19</v>
      </c>
      <c r="S22" s="60" t="s">
        <v>289</v>
      </c>
      <c r="T22" s="59" t="s">
        <v>299</v>
      </c>
    </row>
    <row r="23" spans="1:20" ht="19.5" thickBot="1" x14ac:dyDescent="0.35">
      <c r="A23" s="1" t="s">
        <v>6</v>
      </c>
      <c r="B23" s="5" t="s">
        <v>20</v>
      </c>
      <c r="H23" s="33">
        <f>0.04</f>
        <v>0.04</v>
      </c>
      <c r="S23" s="61" t="s">
        <v>285</v>
      </c>
      <c r="T23" s="59" t="s">
        <v>300</v>
      </c>
    </row>
    <row r="24" spans="1:20" ht="19.5" thickBot="1" x14ac:dyDescent="0.35">
      <c r="A24" s="1" t="s">
        <v>8</v>
      </c>
      <c r="B24" s="5" t="s">
        <v>21</v>
      </c>
      <c r="H24" s="33">
        <v>0.05</v>
      </c>
      <c r="S24" s="61" t="s">
        <v>283</v>
      </c>
      <c r="T24" s="59" t="s">
        <v>310</v>
      </c>
    </row>
    <row r="25" spans="1:20" ht="19.5" thickBot="1" x14ac:dyDescent="0.35">
      <c r="B25" s="5" t="s">
        <v>215</v>
      </c>
      <c r="H25" s="35">
        <f>0.85</f>
        <v>0.85</v>
      </c>
      <c r="S25" s="61" t="s">
        <v>282</v>
      </c>
      <c r="T25" s="61" t="s">
        <v>307</v>
      </c>
    </row>
    <row r="26" spans="1:20" ht="19.5" thickBot="1" x14ac:dyDescent="0.35">
      <c r="B26" s="5" t="s">
        <v>216</v>
      </c>
      <c r="H26" s="35">
        <f>0.06</f>
        <v>0.06</v>
      </c>
      <c r="S26" s="62" t="s">
        <v>313</v>
      </c>
      <c r="T26" s="61" t="s">
        <v>308</v>
      </c>
    </row>
    <row r="27" spans="1:20" ht="21" thickBot="1" x14ac:dyDescent="0.4">
      <c r="A27" s="1" t="s">
        <v>10</v>
      </c>
      <c r="B27" s="5" t="s">
        <v>22</v>
      </c>
      <c r="H27" s="35">
        <f>0.9</f>
        <v>0.9</v>
      </c>
      <c r="S27" s="62" t="s">
        <v>281</v>
      </c>
      <c r="T27" s="60" t="s">
        <v>303</v>
      </c>
    </row>
    <row r="28" spans="1:20" ht="21" thickBot="1" x14ac:dyDescent="0.4">
      <c r="A28" s="1" t="s">
        <v>15</v>
      </c>
      <c r="B28" s="5" t="s">
        <v>23</v>
      </c>
      <c r="H28" s="34">
        <v>0.05</v>
      </c>
      <c r="S28" s="62" t="s">
        <v>284</v>
      </c>
      <c r="T28" s="60" t="s">
        <v>311</v>
      </c>
    </row>
    <row r="29" spans="1:20" ht="21" thickBot="1" x14ac:dyDescent="0.4">
      <c r="A29" s="1" t="s">
        <v>17</v>
      </c>
      <c r="B29" s="5" t="s">
        <v>24</v>
      </c>
      <c r="H29" s="11">
        <v>1</v>
      </c>
      <c r="S29" s="63" t="s">
        <v>257</v>
      </c>
      <c r="T29" s="60" t="s">
        <v>309</v>
      </c>
    </row>
    <row r="30" spans="1:20" ht="19.5" thickBot="1" x14ac:dyDescent="0.35">
      <c r="A30" s="1" t="s">
        <v>25</v>
      </c>
      <c r="B30" s="5" t="s">
        <v>26</v>
      </c>
      <c r="H30" s="12">
        <f>0.65</f>
        <v>0.65</v>
      </c>
      <c r="S30" s="64" t="s">
        <v>29</v>
      </c>
      <c r="T30" s="60" t="s">
        <v>312</v>
      </c>
    </row>
    <row r="31" spans="1:20" ht="21" thickBot="1" x14ac:dyDescent="0.4">
      <c r="A31" s="1" t="s">
        <v>27</v>
      </c>
      <c r="B31" s="5" t="s">
        <v>28</v>
      </c>
      <c r="H31" s="11">
        <f>0.68</f>
        <v>0.68</v>
      </c>
      <c r="S31" s="59" t="s">
        <v>290</v>
      </c>
      <c r="T31" s="68"/>
    </row>
    <row r="32" spans="1:20" ht="19.5" thickBot="1" x14ac:dyDescent="0.35">
      <c r="A32" s="1">
        <v>5</v>
      </c>
      <c r="B32" s="5" t="s">
        <v>29</v>
      </c>
      <c r="S32" s="59" t="s">
        <v>291</v>
      </c>
      <c r="T32" s="69"/>
    </row>
    <row r="33" spans="1:20" ht="24" thickBot="1" x14ac:dyDescent="0.4">
      <c r="A33" s="1" t="s">
        <v>6</v>
      </c>
      <c r="B33" s="4" t="s">
        <v>12</v>
      </c>
      <c r="H33" s="32">
        <v>10</v>
      </c>
      <c r="I33" s="4" t="s">
        <v>9</v>
      </c>
      <c r="S33" s="59" t="s">
        <v>287</v>
      </c>
      <c r="T33" s="69"/>
    </row>
    <row r="34" spans="1:20" ht="21" thickBot="1" x14ac:dyDescent="0.4">
      <c r="A34" s="1" t="s">
        <v>8</v>
      </c>
      <c r="B34" s="4" t="s">
        <v>13</v>
      </c>
      <c r="H34" s="32">
        <v>10</v>
      </c>
      <c r="I34" s="4" t="str">
        <f>I33</f>
        <v>g/m3</v>
      </c>
      <c r="S34" s="58" t="s">
        <v>292</v>
      </c>
      <c r="T34" s="69"/>
    </row>
    <row r="35" spans="1:20" ht="19.5" thickBot="1" x14ac:dyDescent="0.35">
      <c r="B35" s="5" t="s">
        <v>257</v>
      </c>
      <c r="S35" s="58" t="s">
        <v>293</v>
      </c>
      <c r="T35" s="69"/>
    </row>
    <row r="36" spans="1:20" ht="24" thickBot="1" x14ac:dyDescent="0.4">
      <c r="A36" s="1" t="s">
        <v>10</v>
      </c>
      <c r="B36" s="4" t="s">
        <v>12</v>
      </c>
      <c r="H36" s="32">
        <v>20</v>
      </c>
      <c r="I36" s="4" t="s">
        <v>9</v>
      </c>
      <c r="S36" s="58" t="s">
        <v>294</v>
      </c>
      <c r="T36" s="69"/>
    </row>
    <row r="37" spans="1:20" ht="21" thickBot="1" x14ac:dyDescent="0.4">
      <c r="A37" s="1" t="s">
        <v>15</v>
      </c>
      <c r="B37" s="4" t="s">
        <v>13</v>
      </c>
      <c r="H37" s="32">
        <v>30</v>
      </c>
      <c r="I37" s="4" t="str">
        <f>I36</f>
        <v>g/m3</v>
      </c>
      <c r="S37" s="58" t="s">
        <v>295</v>
      </c>
      <c r="T37" s="83"/>
    </row>
    <row r="38" spans="1:20" x14ac:dyDescent="0.3">
      <c r="A38" s="1">
        <v>6</v>
      </c>
      <c r="B38" s="5" t="s">
        <v>30</v>
      </c>
      <c r="S38" s="58" t="s">
        <v>296</v>
      </c>
      <c r="T38" s="70"/>
    </row>
    <row r="39" spans="1:20" ht="19.5" thickBot="1" x14ac:dyDescent="0.35">
      <c r="B39" s="5" t="s">
        <v>31</v>
      </c>
    </row>
    <row r="40" spans="1:20" ht="19.5" thickBot="1" x14ac:dyDescent="0.35">
      <c r="A40" s="1" t="s">
        <v>6</v>
      </c>
      <c r="B40" s="5" t="s">
        <v>32</v>
      </c>
      <c r="H40" s="33">
        <f>0.33</f>
        <v>0.33</v>
      </c>
    </row>
    <row r="41" spans="1:20" ht="19.5" thickBot="1" x14ac:dyDescent="0.35">
      <c r="A41" s="1" t="s">
        <v>8</v>
      </c>
      <c r="B41" s="5" t="s">
        <v>33</v>
      </c>
      <c r="H41" s="33">
        <f>0.5</f>
        <v>0.5</v>
      </c>
    </row>
    <row r="42" spans="1:20" ht="21" thickBot="1" x14ac:dyDescent="0.4">
      <c r="A42" s="1" t="s">
        <v>10</v>
      </c>
      <c r="B42" s="5" t="s">
        <v>34</v>
      </c>
      <c r="H42" s="12">
        <f>0.85</f>
        <v>0.85</v>
      </c>
    </row>
    <row r="43" spans="1:20" x14ac:dyDescent="0.3">
      <c r="A43" s="1">
        <v>7</v>
      </c>
      <c r="B43" s="5" t="s">
        <v>35</v>
      </c>
    </row>
    <row r="44" spans="1:20" ht="19.5" thickBot="1" x14ac:dyDescent="0.35">
      <c r="B44" s="5" t="s">
        <v>36</v>
      </c>
    </row>
    <row r="45" spans="1:20" ht="21" thickBot="1" x14ac:dyDescent="0.4">
      <c r="A45" s="1" t="s">
        <v>6</v>
      </c>
      <c r="B45" s="5" t="s">
        <v>37</v>
      </c>
      <c r="H45" s="11">
        <f>0.8</f>
        <v>0.8</v>
      </c>
    </row>
    <row r="46" spans="1:20" ht="24" thickBot="1" x14ac:dyDescent="0.4">
      <c r="A46" s="1" t="s">
        <v>8</v>
      </c>
      <c r="B46" s="5" t="s">
        <v>38</v>
      </c>
      <c r="H46" s="37">
        <v>7900</v>
      </c>
      <c r="I46" s="4" t="s">
        <v>39</v>
      </c>
    </row>
    <row r="47" spans="1:20" ht="19.5" thickBot="1" x14ac:dyDescent="0.35">
      <c r="A47" s="1" t="s">
        <v>10</v>
      </c>
      <c r="B47" s="13" t="s">
        <v>40</v>
      </c>
      <c r="H47" s="36">
        <v>0.5</v>
      </c>
      <c r="I47" s="4" t="s">
        <v>41</v>
      </c>
    </row>
    <row r="48" spans="1:20" ht="23.25" thickBot="1" x14ac:dyDescent="0.35">
      <c r="A48" s="1" t="s">
        <v>15</v>
      </c>
      <c r="B48" s="5" t="s">
        <v>42</v>
      </c>
      <c r="H48" s="11">
        <v>0.06</v>
      </c>
      <c r="I48" s="4" t="s">
        <v>43</v>
      </c>
    </row>
    <row r="49" spans="1:9" ht="19.5" thickBot="1" x14ac:dyDescent="0.35">
      <c r="A49" s="1" t="s">
        <v>17</v>
      </c>
      <c r="B49" s="5" t="s">
        <v>44</v>
      </c>
      <c r="H49" s="11">
        <v>10</v>
      </c>
      <c r="I49" s="4" t="s">
        <v>45</v>
      </c>
    </row>
    <row r="50" spans="1:9" ht="23.25" thickBot="1" x14ac:dyDescent="0.35">
      <c r="A50" s="1" t="s">
        <v>25</v>
      </c>
      <c r="B50" s="5" t="s">
        <v>240</v>
      </c>
      <c r="H50" s="32">
        <f>7000</f>
        <v>7000</v>
      </c>
      <c r="I50" s="4" t="s">
        <v>9</v>
      </c>
    </row>
    <row r="51" spans="1:9" x14ac:dyDescent="0.3">
      <c r="A51" s="1">
        <v>8</v>
      </c>
      <c r="B51" s="5" t="s">
        <v>46</v>
      </c>
    </row>
    <row r="52" spans="1:9" ht="19.5" thickBot="1" x14ac:dyDescent="0.35">
      <c r="B52" s="5" t="s">
        <v>36</v>
      </c>
    </row>
    <row r="53" spans="1:9" ht="19.5" thickBot="1" x14ac:dyDescent="0.35">
      <c r="A53" s="1" t="s">
        <v>6</v>
      </c>
      <c r="B53" s="5" t="s">
        <v>47</v>
      </c>
      <c r="H53" s="32">
        <f>20</f>
        <v>20</v>
      </c>
      <c r="I53" s="4" t="s">
        <v>45</v>
      </c>
    </row>
    <row r="54" spans="1:9" ht="19.5" thickBot="1" x14ac:dyDescent="0.35">
      <c r="A54" s="1" t="s">
        <v>8</v>
      </c>
      <c r="B54" s="5" t="s">
        <v>48</v>
      </c>
      <c r="H54" s="33">
        <f>(1)*60%</f>
        <v>0.6</v>
      </c>
    </row>
    <row r="55" spans="1:9" ht="24" thickBot="1" x14ac:dyDescent="0.4">
      <c r="A55" s="1" t="s">
        <v>15</v>
      </c>
      <c r="B55" s="5" t="s">
        <v>49</v>
      </c>
      <c r="H55" s="11">
        <f>1000</f>
        <v>1000</v>
      </c>
      <c r="I55" s="4" t="s">
        <v>9</v>
      </c>
    </row>
    <row r="56" spans="1:9" ht="21" thickBot="1" x14ac:dyDescent="0.4">
      <c r="A56" s="1" t="s">
        <v>17</v>
      </c>
      <c r="B56" s="5" t="s">
        <v>50</v>
      </c>
      <c r="H56" s="33">
        <f>0.05</f>
        <v>0.05</v>
      </c>
    </row>
    <row r="57" spans="1:9" ht="19.5" thickBot="1" x14ac:dyDescent="0.35">
      <c r="A57" s="1" t="s">
        <v>25</v>
      </c>
      <c r="B57" s="4" t="s">
        <v>243</v>
      </c>
      <c r="H57" s="11">
        <f>0.08</f>
        <v>0.08</v>
      </c>
      <c r="I57" s="4" t="s">
        <v>155</v>
      </c>
    </row>
    <row r="58" spans="1:9" ht="23.25" thickBot="1" x14ac:dyDescent="0.35">
      <c r="A58" s="1" t="s">
        <v>27</v>
      </c>
      <c r="B58" s="4" t="s">
        <v>244</v>
      </c>
      <c r="H58" s="11">
        <v>0.03</v>
      </c>
      <c r="I58" s="4" t="s">
        <v>43</v>
      </c>
    </row>
    <row r="59" spans="1:9" x14ac:dyDescent="0.3">
      <c r="A59" s="1">
        <v>9</v>
      </c>
      <c r="B59" s="5" t="s">
        <v>51</v>
      </c>
    </row>
    <row r="60" spans="1:9" ht="19.5" thickBot="1" x14ac:dyDescent="0.35">
      <c r="B60" s="4" t="s">
        <v>52</v>
      </c>
    </row>
    <row r="61" spans="1:9" ht="19.5" thickBot="1" x14ac:dyDescent="0.35">
      <c r="A61" s="1" t="s">
        <v>6</v>
      </c>
      <c r="B61" s="5" t="s">
        <v>53</v>
      </c>
      <c r="H61" s="33">
        <f>0.22</f>
        <v>0.22</v>
      </c>
      <c r="I61" s="4" t="s">
        <v>54</v>
      </c>
    </row>
    <row r="62" spans="1:9" ht="19.5" thickBot="1" x14ac:dyDescent="0.35">
      <c r="A62" s="1" t="s">
        <v>8</v>
      </c>
      <c r="B62" s="5" t="s">
        <v>55</v>
      </c>
      <c r="H62" s="32">
        <f>1.123</f>
        <v>1.123</v>
      </c>
    </row>
    <row r="63" spans="1:9" ht="19.5" thickBot="1" x14ac:dyDescent="0.35">
      <c r="A63" s="1" t="s">
        <v>10</v>
      </c>
      <c r="B63" s="5" t="s">
        <v>56</v>
      </c>
      <c r="H63" s="33">
        <v>0.6</v>
      </c>
    </row>
    <row r="64" spans="1:9" ht="21" thickBot="1" x14ac:dyDescent="0.4">
      <c r="A64" s="1" t="s">
        <v>15</v>
      </c>
      <c r="B64" s="5" t="s">
        <v>57</v>
      </c>
      <c r="H64" s="11">
        <f>2000</f>
        <v>2000</v>
      </c>
      <c r="I64" s="4" t="s">
        <v>58</v>
      </c>
    </row>
    <row r="65" spans="1:12" ht="19.5" thickBot="1" x14ac:dyDescent="0.35">
      <c r="A65" s="1">
        <v>10</v>
      </c>
      <c r="B65" s="4" t="s">
        <v>213</v>
      </c>
    </row>
    <row r="66" spans="1:12" ht="19.5" thickBot="1" x14ac:dyDescent="0.35">
      <c r="B66" s="4" t="s">
        <v>79</v>
      </c>
      <c r="H66" s="11">
        <f>1.42</f>
        <v>1.42</v>
      </c>
    </row>
    <row r="67" spans="1:12" ht="21" thickBot="1" x14ac:dyDescent="0.4">
      <c r="B67" s="4" t="s">
        <v>182</v>
      </c>
      <c r="H67" s="25">
        <f>0.5%</f>
        <v>5.0000000000000001E-3</v>
      </c>
    </row>
    <row r="68" spans="1:12" ht="23.25" thickBot="1" x14ac:dyDescent="0.35">
      <c r="B68" s="5" t="s">
        <v>197</v>
      </c>
      <c r="H68" s="27">
        <f>1000</f>
        <v>1000</v>
      </c>
      <c r="I68" s="4" t="s">
        <v>174</v>
      </c>
    </row>
    <row r="70" spans="1:12" x14ac:dyDescent="0.3">
      <c r="B70" s="4" t="s">
        <v>59</v>
      </c>
    </row>
    <row r="71" spans="1:12" x14ac:dyDescent="0.3">
      <c r="A71" s="1">
        <v>1</v>
      </c>
      <c r="B71" s="4" t="s">
        <v>60</v>
      </c>
    </row>
    <row r="72" spans="1:12" ht="21" thickBot="1" x14ac:dyDescent="0.4">
      <c r="A72" s="1" t="s">
        <v>6</v>
      </c>
      <c r="B72" s="4" t="s">
        <v>61</v>
      </c>
    </row>
    <row r="73" spans="1:12" ht="24" thickBot="1" x14ac:dyDescent="0.4">
      <c r="B73" s="4" t="s">
        <v>62</v>
      </c>
      <c r="H73" s="21">
        <f>(H10*H14)/(10^3)</f>
        <v>9720</v>
      </c>
      <c r="I73" s="4" t="s">
        <v>63</v>
      </c>
      <c r="J73" s="15" t="s">
        <v>64</v>
      </c>
      <c r="K73" s="15"/>
      <c r="L73" s="15"/>
    </row>
    <row r="74" spans="1:12" ht="21" thickBot="1" x14ac:dyDescent="0.4">
      <c r="B74" s="4" t="s">
        <v>65</v>
      </c>
      <c r="E74" s="15"/>
      <c r="F74" s="15"/>
      <c r="G74" s="15"/>
      <c r="H74" s="21"/>
      <c r="I74" s="4" t="s">
        <v>63</v>
      </c>
    </row>
    <row r="75" spans="1:12" ht="21" thickBot="1" x14ac:dyDescent="0.4">
      <c r="B75" s="4" t="s">
        <v>66</v>
      </c>
      <c r="E75" s="15"/>
      <c r="F75" s="15"/>
      <c r="G75" s="15"/>
      <c r="H75" s="21">
        <f>H73+H74</f>
        <v>9720</v>
      </c>
    </row>
    <row r="77" spans="1:12" ht="21" thickBot="1" x14ac:dyDescent="0.4">
      <c r="A77" s="1" t="s">
        <v>67</v>
      </c>
      <c r="B77" s="4" t="s">
        <v>68</v>
      </c>
    </row>
    <row r="78" spans="1:12" ht="24" thickBot="1" x14ac:dyDescent="0.4">
      <c r="B78" s="4" t="s">
        <v>69</v>
      </c>
      <c r="H78" s="14">
        <f>(H10*H15)/(10^3)</f>
        <v>12960</v>
      </c>
      <c r="I78" s="4" t="s">
        <v>63</v>
      </c>
      <c r="J78" s="15" t="s">
        <v>64</v>
      </c>
      <c r="K78" s="15"/>
      <c r="L78" s="15"/>
    </row>
    <row r="79" spans="1:12" ht="21" thickBot="1" x14ac:dyDescent="0.4">
      <c r="B79" s="4" t="s">
        <v>70</v>
      </c>
      <c r="E79" s="15"/>
      <c r="F79" s="15"/>
      <c r="G79" s="15"/>
      <c r="H79" s="21">
        <f>0</f>
        <v>0</v>
      </c>
      <c r="I79" s="4" t="s">
        <v>63</v>
      </c>
    </row>
    <row r="80" spans="1:12" ht="21" thickBot="1" x14ac:dyDescent="0.4">
      <c r="B80" s="4" t="s">
        <v>224</v>
      </c>
      <c r="E80" s="15"/>
      <c r="F80" s="15"/>
      <c r="G80" s="15"/>
      <c r="H80" s="14">
        <f>H78+H79</f>
        <v>12960</v>
      </c>
      <c r="I80" s="4" t="s">
        <v>63</v>
      </c>
    </row>
    <row r="81" spans="1:13" ht="19.5" thickBot="1" x14ac:dyDescent="0.35"/>
    <row r="82" spans="1:13" ht="21" thickBot="1" x14ac:dyDescent="0.4">
      <c r="A82" s="1" t="s">
        <v>10</v>
      </c>
      <c r="B82" s="4" t="s">
        <v>71</v>
      </c>
      <c r="H82" s="21">
        <f>H78*H17</f>
        <v>648</v>
      </c>
      <c r="I82" s="4" t="s">
        <v>63</v>
      </c>
    </row>
    <row r="83" spans="1:13" ht="24" thickBot="1" x14ac:dyDescent="0.4">
      <c r="B83" s="4" t="s">
        <v>220</v>
      </c>
      <c r="H83" s="21">
        <f>(H21*H20*H68)*(10^3)</f>
        <v>26500</v>
      </c>
      <c r="I83" s="4" t="s">
        <v>9</v>
      </c>
      <c r="J83" s="15"/>
      <c r="K83" s="15"/>
      <c r="L83" s="15"/>
    </row>
    <row r="84" spans="1:13" ht="23.25" thickBot="1" x14ac:dyDescent="0.35">
      <c r="A84" s="4"/>
      <c r="B84" s="4" t="s">
        <v>223</v>
      </c>
      <c r="H84" s="21">
        <f>(H82/H83)*(10^3)</f>
        <v>24.452830188679243</v>
      </c>
      <c r="I84" s="10" t="s">
        <v>7</v>
      </c>
      <c r="J84" s="15"/>
      <c r="K84" s="15"/>
      <c r="L84" s="15"/>
    </row>
    <row r="85" spans="1:13" ht="24" thickBot="1" x14ac:dyDescent="0.4">
      <c r="A85" s="4"/>
      <c r="B85" s="4" t="s">
        <v>221</v>
      </c>
      <c r="H85" s="21">
        <f>H83*H96*H97*H19</f>
        <v>767.65200000000004</v>
      </c>
      <c r="I85" s="4" t="s">
        <v>9</v>
      </c>
      <c r="J85" s="15"/>
      <c r="K85" s="15"/>
      <c r="L85" s="15"/>
    </row>
    <row r="86" spans="1:13" ht="21" thickBot="1" x14ac:dyDescent="0.4">
      <c r="A86" s="4"/>
      <c r="B86" s="4" t="s">
        <v>222</v>
      </c>
      <c r="H86" s="21">
        <f>(H84*H85)/(10^3)</f>
        <v>18.771263999999999</v>
      </c>
      <c r="I86" s="4" t="s">
        <v>63</v>
      </c>
      <c r="J86" s="15"/>
      <c r="K86" s="15"/>
      <c r="L86" s="15"/>
    </row>
    <row r="87" spans="1:13" x14ac:dyDescent="0.3">
      <c r="H87" s="39"/>
      <c r="J87" s="15"/>
      <c r="K87" s="15"/>
      <c r="L87" s="15"/>
    </row>
    <row r="88" spans="1:13" ht="20.25" x14ac:dyDescent="0.35">
      <c r="A88" s="1" t="s">
        <v>15</v>
      </c>
      <c r="B88" s="4" t="s">
        <v>72</v>
      </c>
    </row>
    <row r="89" spans="1:13" ht="19.5" thickBot="1" x14ac:dyDescent="0.35"/>
    <row r="90" spans="1:13" ht="24" thickBot="1" x14ac:dyDescent="0.4">
      <c r="B90" s="4" t="s">
        <v>69</v>
      </c>
      <c r="H90" s="21">
        <f>H80-H82</f>
        <v>12312</v>
      </c>
      <c r="I90" s="4" t="s">
        <v>63</v>
      </c>
      <c r="J90" s="15" t="s">
        <v>64</v>
      </c>
      <c r="K90" s="15"/>
      <c r="L90" s="15"/>
    </row>
    <row r="91" spans="1:13" x14ac:dyDescent="0.3">
      <c r="J91" s="15"/>
      <c r="K91" s="15"/>
      <c r="L91" s="15"/>
    </row>
    <row r="92" spans="1:13" ht="20.25" x14ac:dyDescent="0.35">
      <c r="A92" s="1">
        <v>2</v>
      </c>
      <c r="B92" s="4" t="s">
        <v>73</v>
      </c>
    </row>
    <row r="93" spans="1:13" ht="20.25" x14ac:dyDescent="0.35">
      <c r="B93" s="4" t="s">
        <v>74</v>
      </c>
      <c r="M93" s="4" t="s">
        <v>75</v>
      </c>
    </row>
    <row r="94" spans="1:13" ht="21" thickBot="1" x14ac:dyDescent="0.4">
      <c r="A94" s="1" t="s">
        <v>76</v>
      </c>
      <c r="B94" s="4" t="s">
        <v>77</v>
      </c>
    </row>
    <row r="95" spans="1:13" ht="19.5" thickBot="1" x14ac:dyDescent="0.35">
      <c r="B95" s="4" t="s">
        <v>78</v>
      </c>
      <c r="H95" s="16">
        <f>$H$30</f>
        <v>0.65</v>
      </c>
    </row>
    <row r="96" spans="1:13" ht="19.5" thickBot="1" x14ac:dyDescent="0.35">
      <c r="B96" s="4" t="s">
        <v>79</v>
      </c>
      <c r="H96" s="31">
        <f>$H$66</f>
        <v>1.42</v>
      </c>
    </row>
    <row r="97" spans="1:15" ht="21" thickBot="1" x14ac:dyDescent="0.4">
      <c r="B97" s="4" t="s">
        <v>80</v>
      </c>
      <c r="H97" s="17">
        <f>$H$31</f>
        <v>0.68</v>
      </c>
    </row>
    <row r="98" spans="1:15" ht="24" thickBot="1" x14ac:dyDescent="0.4">
      <c r="B98" s="4" t="s">
        <v>81</v>
      </c>
      <c r="H98" s="21">
        <f>(H37*H97*H96*H95)</f>
        <v>18.8292</v>
      </c>
      <c r="I98" s="4" t="s">
        <v>9</v>
      </c>
      <c r="J98" s="15" t="s">
        <v>82</v>
      </c>
      <c r="K98" s="15"/>
      <c r="L98" s="15"/>
      <c r="M98" s="15"/>
      <c r="N98" s="15"/>
      <c r="O98" s="15"/>
    </row>
    <row r="99" spans="1:15" ht="20.25" x14ac:dyDescent="0.35">
      <c r="B99" s="4" t="s">
        <v>83</v>
      </c>
    </row>
    <row r="100" spans="1:15" ht="19.5" thickBot="1" x14ac:dyDescent="0.35">
      <c r="B100" s="4" t="s">
        <v>84</v>
      </c>
    </row>
    <row r="101" spans="1:15" ht="23.25" thickBot="1" x14ac:dyDescent="0.35">
      <c r="B101" s="4" t="s">
        <v>85</v>
      </c>
      <c r="H101" s="21">
        <f>H36-H98</f>
        <v>1.1707999999999998</v>
      </c>
      <c r="I101" s="4" t="s">
        <v>9</v>
      </c>
    </row>
    <row r="103" spans="1:15" x14ac:dyDescent="0.3">
      <c r="A103" s="1" t="s">
        <v>76</v>
      </c>
      <c r="B103" s="4" t="s">
        <v>86</v>
      </c>
    </row>
    <row r="104" spans="1:15" ht="19.5" thickBot="1" x14ac:dyDescent="0.35">
      <c r="A104" s="1" t="s">
        <v>87</v>
      </c>
      <c r="B104" s="4" t="s">
        <v>88</v>
      </c>
    </row>
    <row r="105" spans="1:15" ht="19.5" thickBot="1" x14ac:dyDescent="0.35">
      <c r="B105" s="5" t="s">
        <v>32</v>
      </c>
      <c r="H105" s="16">
        <f>$H$40</f>
        <v>0.33</v>
      </c>
    </row>
    <row r="106" spans="1:15" ht="19.5" thickBot="1" x14ac:dyDescent="0.35">
      <c r="B106" s="5" t="s">
        <v>33</v>
      </c>
      <c r="H106" s="16">
        <v>0.5</v>
      </c>
    </row>
    <row r="107" spans="1:15" ht="21" thickBot="1" x14ac:dyDescent="0.4">
      <c r="A107" s="1" t="s">
        <v>89</v>
      </c>
      <c r="B107" s="4" t="s">
        <v>90</v>
      </c>
      <c r="H107" s="21">
        <f>(H75-H86)*H105</f>
        <v>3201.4054828799999</v>
      </c>
      <c r="I107" s="4" t="s">
        <v>63</v>
      </c>
    </row>
    <row r="108" spans="1:15" ht="21" thickBot="1" x14ac:dyDescent="0.4">
      <c r="A108" s="1" t="s">
        <v>91</v>
      </c>
      <c r="B108" s="4" t="s">
        <v>92</v>
      </c>
      <c r="H108" s="21">
        <f>H75-H107-H86</f>
        <v>6499.8232531200001</v>
      </c>
      <c r="I108" s="4" t="s">
        <v>63</v>
      </c>
    </row>
    <row r="109" spans="1:15" ht="21" thickBot="1" x14ac:dyDescent="0.4">
      <c r="A109" s="1" t="s">
        <v>93</v>
      </c>
      <c r="B109" s="4" t="s">
        <v>94</v>
      </c>
      <c r="H109" s="21">
        <f>H90*H106</f>
        <v>6156</v>
      </c>
      <c r="I109" s="4" t="s">
        <v>63</v>
      </c>
    </row>
    <row r="110" spans="1:15" ht="21" thickBot="1" x14ac:dyDescent="0.4">
      <c r="A110" s="1" t="s">
        <v>95</v>
      </c>
      <c r="B110" s="4" t="s">
        <v>96</v>
      </c>
      <c r="H110" s="21">
        <f>H90-H109</f>
        <v>6156</v>
      </c>
      <c r="I110" s="4" t="s">
        <v>63</v>
      </c>
    </row>
    <row r="111" spans="1:15" x14ac:dyDescent="0.3">
      <c r="A111" s="1" t="s">
        <v>8</v>
      </c>
      <c r="B111" s="4" t="s">
        <v>97</v>
      </c>
    </row>
    <row r="112" spans="1:15" ht="19.5" thickBot="1" x14ac:dyDescent="0.35">
      <c r="A112" s="1" t="s">
        <v>98</v>
      </c>
      <c r="B112" s="4" t="s">
        <v>88</v>
      </c>
    </row>
    <row r="113" spans="1:9" ht="19.5" thickBot="1" x14ac:dyDescent="0.35">
      <c r="B113" s="5" t="s">
        <v>20</v>
      </c>
      <c r="H113" s="23">
        <f>H23</f>
        <v>0.04</v>
      </c>
    </row>
    <row r="114" spans="1:9" ht="21" thickBot="1" x14ac:dyDescent="0.4">
      <c r="B114" s="4" t="s">
        <v>14</v>
      </c>
      <c r="H114" s="16">
        <f>$H$16</f>
        <v>0.67</v>
      </c>
    </row>
    <row r="115" spans="1:9" ht="19.5" thickBot="1" x14ac:dyDescent="0.35">
      <c r="B115" s="4" t="s">
        <v>18</v>
      </c>
      <c r="H115" s="16">
        <f>$H$19</f>
        <v>0.03</v>
      </c>
    </row>
    <row r="116" spans="1:9" ht="21" thickBot="1" x14ac:dyDescent="0.4">
      <c r="B116" s="5" t="s">
        <v>34</v>
      </c>
      <c r="H116" s="16">
        <f>$H$42</f>
        <v>0.85</v>
      </c>
    </row>
    <row r="117" spans="1:9" ht="21" thickBot="1" x14ac:dyDescent="0.4">
      <c r="B117" s="4" t="s">
        <v>99</v>
      </c>
      <c r="H117" s="21">
        <f>H80*H114</f>
        <v>8683.2000000000007</v>
      </c>
      <c r="I117" s="4" t="s">
        <v>63</v>
      </c>
    </row>
    <row r="118" spans="1:9" ht="21" thickBot="1" x14ac:dyDescent="0.4">
      <c r="B118" s="4" t="s">
        <v>100</v>
      </c>
      <c r="H118" s="21">
        <f>H82*H115</f>
        <v>19.439999999999998</v>
      </c>
      <c r="I118" s="4" t="s">
        <v>63</v>
      </c>
    </row>
    <row r="119" spans="1:9" ht="21" thickBot="1" x14ac:dyDescent="0.4">
      <c r="B119" s="4" t="s">
        <v>101</v>
      </c>
      <c r="H119" s="21">
        <f>H110*H116</f>
        <v>5232.5999999999995</v>
      </c>
      <c r="I119" s="4" t="s">
        <v>63</v>
      </c>
    </row>
    <row r="120" spans="1:9" ht="21" thickBot="1" x14ac:dyDescent="0.4">
      <c r="B120" s="4" t="s">
        <v>102</v>
      </c>
      <c r="H120" s="14">
        <f>(H117-H118-H119)</f>
        <v>3431.1600000000008</v>
      </c>
      <c r="I120" s="4" t="s">
        <v>63</v>
      </c>
    </row>
    <row r="121" spans="1:9" ht="23.25" thickBot="1" x14ac:dyDescent="0.35">
      <c r="B121" s="4" t="s">
        <v>227</v>
      </c>
      <c r="H121" s="21">
        <f>H109/(H113*H68*H126)</f>
        <v>153.9</v>
      </c>
      <c r="I121" s="10" t="s">
        <v>7</v>
      </c>
    </row>
    <row r="122" spans="1:9" ht="19.5" thickBot="1" x14ac:dyDescent="0.35">
      <c r="B122" s="4" t="s">
        <v>103</v>
      </c>
      <c r="H122" s="43">
        <f>(H120/H109)</f>
        <v>0.55736842105263174</v>
      </c>
    </row>
    <row r="123" spans="1:9" ht="19.5" thickBot="1" x14ac:dyDescent="0.35">
      <c r="A123" s="1" t="s">
        <v>10</v>
      </c>
      <c r="B123" s="4" t="s">
        <v>225</v>
      </c>
      <c r="H123" s="40"/>
    </row>
    <row r="124" spans="1:9" ht="19.5" thickBot="1" x14ac:dyDescent="0.35">
      <c r="B124" s="5" t="s">
        <v>215</v>
      </c>
      <c r="H124" s="16">
        <f>H25</f>
        <v>0.85</v>
      </c>
    </row>
    <row r="125" spans="1:9" ht="19.5" thickBot="1" x14ac:dyDescent="0.35">
      <c r="B125" s="5" t="s">
        <v>216</v>
      </c>
      <c r="H125" s="20">
        <f>H26</f>
        <v>0.06</v>
      </c>
    </row>
    <row r="126" spans="1:9" ht="19.5" thickBot="1" x14ac:dyDescent="0.35">
      <c r="B126" s="4" t="s">
        <v>226</v>
      </c>
      <c r="H126" s="26">
        <f>H29</f>
        <v>1</v>
      </c>
    </row>
    <row r="127" spans="1:9" ht="23.25" thickBot="1" x14ac:dyDescent="0.35">
      <c r="A127" s="1" t="s">
        <v>87</v>
      </c>
      <c r="B127" s="4" t="s">
        <v>228</v>
      </c>
      <c r="H127" s="42">
        <f>(H129)/(H125*H126*H68)</f>
        <v>87.21</v>
      </c>
      <c r="I127" s="10" t="s">
        <v>7</v>
      </c>
    </row>
    <row r="128" spans="1:9" ht="23.25" thickBot="1" x14ac:dyDescent="0.35">
      <c r="A128" s="1" t="s">
        <v>89</v>
      </c>
      <c r="B128" s="4" t="s">
        <v>229</v>
      </c>
      <c r="H128" s="42">
        <f>H121-H127</f>
        <v>66.690000000000012</v>
      </c>
      <c r="I128" s="10" t="s">
        <v>7</v>
      </c>
    </row>
    <row r="129" spans="1:9" ht="21" thickBot="1" x14ac:dyDescent="0.4">
      <c r="A129" s="1" t="s">
        <v>91</v>
      </c>
      <c r="B129" s="4" t="s">
        <v>230</v>
      </c>
      <c r="H129" s="42">
        <f>H109*H124</f>
        <v>5232.5999999999995</v>
      </c>
      <c r="I129" s="10" t="s">
        <v>63</v>
      </c>
    </row>
    <row r="130" spans="1:9" ht="21" thickBot="1" x14ac:dyDescent="0.4">
      <c r="A130" s="1" t="s">
        <v>93</v>
      </c>
      <c r="B130" s="4" t="s">
        <v>231</v>
      </c>
      <c r="H130" s="42">
        <f>H110-H129</f>
        <v>923.40000000000055</v>
      </c>
      <c r="I130" s="10" t="s">
        <v>63</v>
      </c>
    </row>
    <row r="131" spans="1:9" ht="24" thickBot="1" x14ac:dyDescent="0.4">
      <c r="A131" s="1" t="s">
        <v>95</v>
      </c>
      <c r="B131" s="4" t="s">
        <v>232</v>
      </c>
      <c r="H131" s="42">
        <f>(H130/H128)*10^3</f>
        <v>13846.153846153851</v>
      </c>
      <c r="I131" s="4" t="s">
        <v>9</v>
      </c>
    </row>
    <row r="132" spans="1:9" ht="24" thickBot="1" x14ac:dyDescent="0.4">
      <c r="A132" s="1" t="s">
        <v>233</v>
      </c>
      <c r="B132" s="4" t="s">
        <v>235</v>
      </c>
      <c r="H132" s="42">
        <f>H131*H96*H97*H122</f>
        <v>7451.930040485835</v>
      </c>
      <c r="I132" s="4" t="s">
        <v>9</v>
      </c>
    </row>
    <row r="133" spans="1:9" ht="21" thickBot="1" x14ac:dyDescent="0.4">
      <c r="A133" s="1" t="s">
        <v>180</v>
      </c>
      <c r="B133" s="4" t="s">
        <v>234</v>
      </c>
      <c r="H133" s="42">
        <f>(H132*H128)/10^3</f>
        <v>496.9692144000004</v>
      </c>
      <c r="I133" s="4" t="s">
        <v>63</v>
      </c>
    </row>
    <row r="134" spans="1:9" ht="24" thickBot="1" x14ac:dyDescent="0.4">
      <c r="A134" s="1" t="s">
        <v>192</v>
      </c>
      <c r="B134" s="4" t="s">
        <v>236</v>
      </c>
      <c r="H134" s="42">
        <f>(H129/H127)*(10^3)*H96*H97*H122</f>
        <v>32291.696842105277</v>
      </c>
      <c r="I134" s="4" t="s">
        <v>9</v>
      </c>
    </row>
    <row r="135" spans="1:9" ht="21" thickBot="1" x14ac:dyDescent="0.4">
      <c r="A135" s="1" t="s">
        <v>238</v>
      </c>
      <c r="B135" s="4" t="s">
        <v>237</v>
      </c>
      <c r="H135" s="42">
        <f>(H134*H127)/10^3</f>
        <v>2816.1588816000008</v>
      </c>
      <c r="I135" s="4" t="s">
        <v>63</v>
      </c>
    </row>
    <row r="136" spans="1:9" x14ac:dyDescent="0.3">
      <c r="H136" s="41"/>
      <c r="I136" s="10"/>
    </row>
    <row r="137" spans="1:9" x14ac:dyDescent="0.3">
      <c r="A137" s="1" t="s">
        <v>10</v>
      </c>
      <c r="B137" s="4" t="s">
        <v>104</v>
      </c>
    </row>
    <row r="138" spans="1:9" ht="19.5" thickBot="1" x14ac:dyDescent="0.35">
      <c r="A138" s="1" t="s">
        <v>87</v>
      </c>
      <c r="B138" s="4" t="s">
        <v>105</v>
      </c>
    </row>
    <row r="139" spans="1:9" ht="23.25" thickBot="1" x14ac:dyDescent="0.35">
      <c r="B139" s="4" t="s">
        <v>106</v>
      </c>
      <c r="H139" s="17">
        <f>$H$12</f>
        <v>32400</v>
      </c>
      <c r="I139" s="10" t="s">
        <v>7</v>
      </c>
    </row>
    <row r="140" spans="1:9" ht="21" thickBot="1" x14ac:dyDescent="0.4">
      <c r="B140" s="5" t="s">
        <v>37</v>
      </c>
      <c r="H140" s="17">
        <f>$H$45</f>
        <v>0.8</v>
      </c>
    </row>
    <row r="141" spans="1:9" ht="24" thickBot="1" x14ac:dyDescent="0.4">
      <c r="B141" s="5" t="s">
        <v>38</v>
      </c>
      <c r="H141" s="17">
        <f>$H$46</f>
        <v>7900</v>
      </c>
      <c r="I141" s="4" t="s">
        <v>39</v>
      </c>
    </row>
    <row r="142" spans="1:9" ht="19.5" thickBot="1" x14ac:dyDescent="0.35">
      <c r="B142" s="13" t="s">
        <v>40</v>
      </c>
      <c r="H142" s="17">
        <f>$H$47</f>
        <v>0.5</v>
      </c>
      <c r="I142" s="4" t="s">
        <v>41</v>
      </c>
    </row>
    <row r="143" spans="1:9" ht="23.25" thickBot="1" x14ac:dyDescent="0.35">
      <c r="B143" s="5" t="s">
        <v>42</v>
      </c>
      <c r="H143" s="17">
        <f>$H$48</f>
        <v>0.06</v>
      </c>
      <c r="I143" s="4" t="s">
        <v>43</v>
      </c>
    </row>
    <row r="144" spans="1:9" ht="19.5" thickBot="1" x14ac:dyDescent="0.35">
      <c r="B144" s="5" t="s">
        <v>44</v>
      </c>
      <c r="H144" s="17">
        <f>$H$49</f>
        <v>10</v>
      </c>
      <c r="I144" s="4" t="s">
        <v>45</v>
      </c>
    </row>
    <row r="145" spans="1:13" ht="21" thickBot="1" x14ac:dyDescent="0.4">
      <c r="B145" s="4" t="s">
        <v>92</v>
      </c>
      <c r="H145" s="31">
        <f>$H$108</f>
        <v>6499.8232531200001</v>
      </c>
      <c r="I145" s="4" t="s">
        <v>63</v>
      </c>
    </row>
    <row r="146" spans="1:13" ht="24" thickBot="1" x14ac:dyDescent="0.4">
      <c r="B146" s="4" t="s">
        <v>107</v>
      </c>
      <c r="H146" s="21">
        <f>(H145/H139)*(10^3)</f>
        <v>200.61182880000001</v>
      </c>
      <c r="I146" s="4" t="s">
        <v>9</v>
      </c>
      <c r="J146" s="10" t="s">
        <v>108</v>
      </c>
      <c r="K146" s="10"/>
      <c r="L146" s="10"/>
    </row>
    <row r="147" spans="1:13" ht="23.25" thickBot="1" x14ac:dyDescent="0.35">
      <c r="B147" s="4" t="s">
        <v>109</v>
      </c>
      <c r="H147" s="18">
        <f>$H$101</f>
        <v>1.1707999999999998</v>
      </c>
      <c r="I147" s="4" t="s">
        <v>9</v>
      </c>
    </row>
    <row r="148" spans="1:13" ht="19.5" thickBot="1" x14ac:dyDescent="0.35">
      <c r="B148" s="5" t="s">
        <v>240</v>
      </c>
      <c r="H148" s="18">
        <f>H50</f>
        <v>7000</v>
      </c>
    </row>
    <row r="149" spans="1:13" ht="19.5" thickBot="1" x14ac:dyDescent="0.35"/>
    <row r="150" spans="1:13" ht="24" thickBot="1" x14ac:dyDescent="0.4">
      <c r="B150" s="4" t="s">
        <v>110</v>
      </c>
      <c r="H150" s="21">
        <f>(H139*H142*(H146-H147)*H144)/((1+(H143*H144))*H141)</f>
        <v>2556.1271096202531</v>
      </c>
      <c r="I150" s="4" t="s">
        <v>9</v>
      </c>
      <c r="J150" s="4" t="s">
        <v>111</v>
      </c>
    </row>
    <row r="151" spans="1:13" ht="24" thickBot="1" x14ac:dyDescent="0.4">
      <c r="B151" s="4" t="s">
        <v>112</v>
      </c>
      <c r="H151" s="21">
        <f>H150/H140</f>
        <v>3195.1588870253163</v>
      </c>
      <c r="I151" s="4" t="s">
        <v>9</v>
      </c>
    </row>
    <row r="152" spans="1:13" ht="21" thickBot="1" x14ac:dyDescent="0.4">
      <c r="B152" s="4" t="s">
        <v>113</v>
      </c>
      <c r="H152" s="21">
        <f>(H142)/((1+(H143*H144)))</f>
        <v>0.3125</v>
      </c>
      <c r="J152" s="4" t="s">
        <v>114</v>
      </c>
    </row>
    <row r="153" spans="1:13" ht="19.5" thickBot="1" x14ac:dyDescent="0.35">
      <c r="A153" s="1" t="s">
        <v>115</v>
      </c>
      <c r="B153" s="4" t="s">
        <v>116</v>
      </c>
    </row>
    <row r="154" spans="1:13" ht="21" thickBot="1" x14ac:dyDescent="0.4">
      <c r="B154" s="4" t="s">
        <v>117</v>
      </c>
      <c r="H154" s="21">
        <f>(H139*H36)/(10^3)</f>
        <v>648</v>
      </c>
      <c r="I154" s="4" t="s">
        <v>63</v>
      </c>
    </row>
    <row r="155" spans="1:13" ht="21" thickBot="1" x14ac:dyDescent="0.4">
      <c r="B155" s="4" t="s">
        <v>118</v>
      </c>
      <c r="H155" s="21">
        <f>(H139*H37)/(10^3)</f>
        <v>972</v>
      </c>
      <c r="I155" s="4" t="s">
        <v>63</v>
      </c>
    </row>
    <row r="156" spans="1:13" ht="19.5" thickBot="1" x14ac:dyDescent="0.35">
      <c r="A156" s="1" t="s">
        <v>91</v>
      </c>
      <c r="B156" s="4" t="s">
        <v>119</v>
      </c>
    </row>
    <row r="157" spans="1:13" ht="21" thickBot="1" x14ac:dyDescent="0.4">
      <c r="B157" s="4" t="s">
        <v>120</v>
      </c>
      <c r="H157" s="21">
        <f>(H152*H139*(H146-H147))/(10^3)</f>
        <v>2019.3404166000003</v>
      </c>
      <c r="I157" s="4" t="s">
        <v>63</v>
      </c>
      <c r="J157" s="4" t="s">
        <v>121</v>
      </c>
    </row>
    <row r="158" spans="1:13" ht="21" thickBot="1" x14ac:dyDescent="0.4">
      <c r="A158" s="1" t="s">
        <v>122</v>
      </c>
      <c r="B158" s="4" t="s">
        <v>123</v>
      </c>
    </row>
    <row r="159" spans="1:13" ht="21" thickBot="1" x14ac:dyDescent="0.4">
      <c r="B159" s="4" t="s">
        <v>118</v>
      </c>
      <c r="H159" s="21">
        <f>(H157/H140)</f>
        <v>2524.17552075</v>
      </c>
      <c r="I159" s="4" t="s">
        <v>63</v>
      </c>
    </row>
    <row r="160" spans="1:13" ht="19.5" thickBot="1" x14ac:dyDescent="0.35">
      <c r="A160" s="1" t="s">
        <v>95</v>
      </c>
      <c r="B160" s="4" t="s">
        <v>239</v>
      </c>
      <c r="M160" s="19"/>
    </row>
    <row r="161" spans="1:9" ht="21" thickBot="1" x14ac:dyDescent="0.4">
      <c r="B161" s="4" t="s">
        <v>118</v>
      </c>
      <c r="H161" s="21">
        <f>H159-H155</f>
        <v>1552.17552075</v>
      </c>
      <c r="I161" s="4" t="s">
        <v>63</v>
      </c>
    </row>
    <row r="162" spans="1:9" ht="23.25" thickBot="1" x14ac:dyDescent="0.35">
      <c r="B162" s="4" t="s">
        <v>106</v>
      </c>
      <c r="H162" s="21">
        <f>(H161/H148)*(10^3)</f>
        <v>221.73936010714289</v>
      </c>
      <c r="I162" s="4" t="s">
        <v>7</v>
      </c>
    </row>
    <row r="163" spans="1:9" x14ac:dyDescent="0.3">
      <c r="A163" s="1" t="s">
        <v>15</v>
      </c>
      <c r="B163" s="4" t="s">
        <v>124</v>
      </c>
    </row>
    <row r="164" spans="1:9" ht="19.5" thickBot="1" x14ac:dyDescent="0.35">
      <c r="A164" s="1" t="s">
        <v>98</v>
      </c>
      <c r="B164" s="4" t="s">
        <v>88</v>
      </c>
    </row>
    <row r="165" spans="1:9" ht="19.5" thickBot="1" x14ac:dyDescent="0.35">
      <c r="B165" s="5" t="s">
        <v>21</v>
      </c>
      <c r="H165" s="16">
        <f>$H$24</f>
        <v>0.05</v>
      </c>
    </row>
    <row r="166" spans="1:9" ht="19.5" thickBot="1" x14ac:dyDescent="0.35">
      <c r="B166" s="5" t="s">
        <v>22</v>
      </c>
      <c r="H166" s="20">
        <f>$H$27</f>
        <v>0.9</v>
      </c>
    </row>
    <row r="167" spans="1:9" ht="19.5" thickBot="1" x14ac:dyDescent="0.35">
      <c r="B167" s="5" t="s">
        <v>125</v>
      </c>
      <c r="H167" s="17">
        <f>$H$29</f>
        <v>1</v>
      </c>
    </row>
    <row r="168" spans="1:9" ht="19.5" thickBot="1" x14ac:dyDescent="0.35">
      <c r="A168" s="1" t="s">
        <v>115</v>
      </c>
      <c r="B168" s="4" t="s">
        <v>126</v>
      </c>
    </row>
    <row r="169" spans="1:9" ht="19.5" thickBot="1" x14ac:dyDescent="0.35">
      <c r="B169" s="4" t="s">
        <v>127</v>
      </c>
      <c r="H169" s="21">
        <f>H161*H166</f>
        <v>1396.9579686750001</v>
      </c>
      <c r="I169" s="4" t="s">
        <v>63</v>
      </c>
    </row>
    <row r="170" spans="1:9" ht="23.25" thickBot="1" x14ac:dyDescent="0.35">
      <c r="B170" s="4" t="s">
        <v>106</v>
      </c>
      <c r="H170" s="21">
        <f>(H169/(H165 *H68))</f>
        <v>27.939159373500001</v>
      </c>
      <c r="I170" s="4" t="s">
        <v>7</v>
      </c>
    </row>
    <row r="171" spans="1:9" ht="19.5" thickBot="1" x14ac:dyDescent="0.35">
      <c r="A171" s="1" t="s">
        <v>128</v>
      </c>
      <c r="B171" s="4" t="s">
        <v>129</v>
      </c>
    </row>
    <row r="172" spans="1:9" ht="23.25" thickBot="1" x14ac:dyDescent="0.35">
      <c r="B172" s="4" t="s">
        <v>130</v>
      </c>
      <c r="H172" s="21">
        <f>H162-H170</f>
        <v>193.8002007336429</v>
      </c>
      <c r="I172" s="4" t="s">
        <v>7</v>
      </c>
    </row>
    <row r="173" spans="1:9" ht="21" thickBot="1" x14ac:dyDescent="0.4">
      <c r="A173" s="1" t="s">
        <v>122</v>
      </c>
      <c r="B173" s="4" t="s">
        <v>131</v>
      </c>
    </row>
    <row r="174" spans="1:9" ht="21" thickBot="1" x14ac:dyDescent="0.4">
      <c r="B174" s="4" t="s">
        <v>118</v>
      </c>
      <c r="H174" s="21">
        <f>H169</f>
        <v>1396.9579686750001</v>
      </c>
      <c r="I174" s="4" t="s">
        <v>63</v>
      </c>
    </row>
    <row r="175" spans="1:9" ht="21" thickBot="1" x14ac:dyDescent="0.4">
      <c r="A175" s="1" t="s">
        <v>132</v>
      </c>
      <c r="B175" s="4" t="s">
        <v>133</v>
      </c>
    </row>
    <row r="176" spans="1:9" ht="24" thickBot="1" x14ac:dyDescent="0.4">
      <c r="B176" s="4" t="s">
        <v>134</v>
      </c>
      <c r="H176" s="21">
        <f>(H169*(10^3))/H170</f>
        <v>50000</v>
      </c>
      <c r="I176" s="4" t="s">
        <v>9</v>
      </c>
    </row>
    <row r="177" spans="1:12" ht="24" thickBot="1" x14ac:dyDescent="0.4">
      <c r="B177" s="4" t="s">
        <v>135</v>
      </c>
      <c r="H177" s="21">
        <f>H176*H140*H96*H97</f>
        <v>38624</v>
      </c>
      <c r="I177" s="4" t="s">
        <v>9</v>
      </c>
    </row>
    <row r="178" spans="1:12" ht="21" thickBot="1" x14ac:dyDescent="0.4">
      <c r="B178" s="4" t="s">
        <v>117</v>
      </c>
      <c r="H178" s="21">
        <f>(H177*H170)/(10^3)</f>
        <v>1079.1220916420641</v>
      </c>
      <c r="I178" s="4" t="s">
        <v>63</v>
      </c>
    </row>
    <row r="179" spans="1:12" ht="21" thickBot="1" x14ac:dyDescent="0.4">
      <c r="A179" s="1" t="s">
        <v>136</v>
      </c>
      <c r="B179" s="4" t="s">
        <v>137</v>
      </c>
    </row>
    <row r="180" spans="1:12" ht="21" thickBot="1" x14ac:dyDescent="0.4">
      <c r="B180" s="4" t="s">
        <v>118</v>
      </c>
      <c r="H180" s="21">
        <f>H161-H174</f>
        <v>155.21755207499996</v>
      </c>
      <c r="I180" s="4" t="s">
        <v>63</v>
      </c>
    </row>
    <row r="181" spans="1:12" ht="21" thickBot="1" x14ac:dyDescent="0.4">
      <c r="A181" s="1" t="s">
        <v>138</v>
      </c>
      <c r="B181" s="4" t="s">
        <v>139</v>
      </c>
    </row>
    <row r="182" spans="1:12" ht="24" thickBot="1" x14ac:dyDescent="0.4">
      <c r="B182" s="4" t="s">
        <v>140</v>
      </c>
      <c r="H182" s="21">
        <f>(H180/H172)*(10^3)</f>
        <v>800.91533180777992</v>
      </c>
      <c r="I182" s="4" t="s">
        <v>9</v>
      </c>
    </row>
    <row r="183" spans="1:12" ht="24" thickBot="1" x14ac:dyDescent="0.4">
      <c r="B183" s="4" t="s">
        <v>135</v>
      </c>
      <c r="H183" s="21">
        <f>H182*H97*H96*H95</f>
        <v>502.68649885583505</v>
      </c>
      <c r="I183" s="4" t="s">
        <v>9</v>
      </c>
      <c r="L183" s="4" t="s">
        <v>75</v>
      </c>
    </row>
    <row r="184" spans="1:12" ht="21" thickBot="1" x14ac:dyDescent="0.4">
      <c r="B184" s="4" t="s">
        <v>117</v>
      </c>
      <c r="H184" s="21">
        <f>(H183*H172)/(10^3)</f>
        <v>97.420744384352972</v>
      </c>
      <c r="I184" s="4" t="s">
        <v>63</v>
      </c>
    </row>
    <row r="185" spans="1:12" x14ac:dyDescent="0.3">
      <c r="A185" s="1" t="s">
        <v>17</v>
      </c>
      <c r="B185" s="4" t="s">
        <v>141</v>
      </c>
    </row>
    <row r="186" spans="1:12" ht="19.5" thickBot="1" x14ac:dyDescent="0.35">
      <c r="A186" s="1" t="s">
        <v>98</v>
      </c>
      <c r="B186" s="4" t="s">
        <v>88</v>
      </c>
    </row>
    <row r="187" spans="1:12" ht="19.5" thickBot="1" x14ac:dyDescent="0.35">
      <c r="B187" s="5" t="s">
        <v>47</v>
      </c>
      <c r="H187" s="17">
        <f>$H$53</f>
        <v>20</v>
      </c>
      <c r="I187" s="4" t="s">
        <v>45</v>
      </c>
    </row>
    <row r="188" spans="1:12" ht="19.5" thickBot="1" x14ac:dyDescent="0.35">
      <c r="B188" s="5" t="s">
        <v>48</v>
      </c>
      <c r="H188" s="16">
        <f>$H$54</f>
        <v>0.6</v>
      </c>
    </row>
    <row r="189" spans="1:12" ht="24" thickBot="1" x14ac:dyDescent="0.4">
      <c r="B189" s="5" t="s">
        <v>49</v>
      </c>
      <c r="H189" s="17">
        <f>$H$55</f>
        <v>1000</v>
      </c>
      <c r="I189" s="4" t="s">
        <v>9</v>
      </c>
    </row>
    <row r="190" spans="1:12" ht="21" thickBot="1" x14ac:dyDescent="0.4">
      <c r="B190" s="5" t="s">
        <v>50</v>
      </c>
      <c r="H190" s="30">
        <f>$H$56</f>
        <v>0.05</v>
      </c>
    </row>
    <row r="191" spans="1:12" x14ac:dyDescent="0.3">
      <c r="A191" s="1" t="s">
        <v>89</v>
      </c>
      <c r="B191" s="4" t="s">
        <v>142</v>
      </c>
    </row>
    <row r="192" spans="1:12" ht="21" thickBot="1" x14ac:dyDescent="0.4">
      <c r="B192" s="4" t="s">
        <v>241</v>
      </c>
    </row>
    <row r="193" spans="1:24" ht="21" thickBot="1" x14ac:dyDescent="0.4">
      <c r="B193" s="4" t="s">
        <v>118</v>
      </c>
      <c r="H193" s="21">
        <f>H129+H174</f>
        <v>6629.5579686749998</v>
      </c>
      <c r="I193" s="4" t="s">
        <v>63</v>
      </c>
    </row>
    <row r="194" spans="1:24" ht="23.25" thickBot="1" x14ac:dyDescent="0.35">
      <c r="B194" s="4" t="s">
        <v>143</v>
      </c>
      <c r="H194" s="21">
        <f>(H129/(H125*H126*H68))+(H174/(H165*H167*H68))</f>
        <v>115.1491593735</v>
      </c>
      <c r="I194" s="4" t="s">
        <v>7</v>
      </c>
    </row>
    <row r="195" spans="1:24" ht="21" thickBot="1" x14ac:dyDescent="0.4">
      <c r="A195" s="1" t="s">
        <v>91</v>
      </c>
      <c r="B195" s="4" t="s">
        <v>144</v>
      </c>
    </row>
    <row r="196" spans="1:24" ht="21" thickBot="1" x14ac:dyDescent="0.4">
      <c r="B196" s="4" t="s">
        <v>145</v>
      </c>
      <c r="H196" s="21">
        <f>(H129*H122)+(H174*H140)</f>
        <v>4034.0523749400004</v>
      </c>
      <c r="I196" s="4" t="s">
        <v>63</v>
      </c>
    </row>
    <row r="197" spans="1:24" ht="21" thickBot="1" x14ac:dyDescent="0.4">
      <c r="B197" s="4" t="s">
        <v>146</v>
      </c>
      <c r="H197" s="22">
        <f>H196/H193</f>
        <v>0.60849492439784136</v>
      </c>
    </row>
    <row r="198" spans="1:24" ht="19.5" thickBot="1" x14ac:dyDescent="0.35">
      <c r="A198" s="1" t="s">
        <v>122</v>
      </c>
      <c r="B198" s="4" t="s">
        <v>147</v>
      </c>
    </row>
    <row r="199" spans="1:24" ht="21" thickBot="1" x14ac:dyDescent="0.4">
      <c r="B199" s="4" t="s">
        <v>145</v>
      </c>
      <c r="H199" s="21">
        <f>H196*H188</f>
        <v>2420.4314249640001</v>
      </c>
      <c r="I199" s="4" t="s">
        <v>63</v>
      </c>
    </row>
    <row r="200" spans="1:24" ht="19.5" thickBot="1" x14ac:dyDescent="0.35">
      <c r="A200" s="1" t="s">
        <v>95</v>
      </c>
      <c r="B200" s="4" t="s">
        <v>148</v>
      </c>
    </row>
    <row r="201" spans="1:24" ht="19.5" thickBot="1" x14ac:dyDescent="0.35">
      <c r="B201" s="4" t="s">
        <v>149</v>
      </c>
      <c r="H201" s="21">
        <f>(H129/H125)</f>
        <v>87210</v>
      </c>
      <c r="I201" s="4" t="s">
        <v>63</v>
      </c>
      <c r="K201" s="4" t="s">
        <v>150</v>
      </c>
    </row>
    <row r="202" spans="1:24" ht="19.5" thickBot="1" x14ac:dyDescent="0.35">
      <c r="B202" s="4" t="s">
        <v>151</v>
      </c>
      <c r="H202" s="21">
        <f>H174/H165</f>
        <v>27939.159373499999</v>
      </c>
      <c r="I202" s="4" t="s">
        <v>63</v>
      </c>
      <c r="K202" s="4" t="s">
        <v>152</v>
      </c>
    </row>
    <row r="204" spans="1:24" ht="19.5" thickBot="1" x14ac:dyDescent="0.35">
      <c r="B204" s="4" t="s">
        <v>153</v>
      </c>
    </row>
    <row r="205" spans="1:24" ht="19.5" thickBot="1" x14ac:dyDescent="0.35">
      <c r="B205" s="4" t="s">
        <v>154</v>
      </c>
      <c r="H205" s="17">
        <f>$H$57</f>
        <v>0.08</v>
      </c>
      <c r="I205" s="4" t="s">
        <v>155</v>
      </c>
      <c r="Q205" s="24" t="s">
        <v>242</v>
      </c>
      <c r="R205" s="24"/>
      <c r="S205" s="24"/>
      <c r="T205" s="24"/>
      <c r="U205" s="24"/>
      <c r="V205" s="24"/>
      <c r="W205" s="24"/>
      <c r="X205" s="24"/>
    </row>
    <row r="206" spans="1:24" ht="23.25" thickBot="1" x14ac:dyDescent="0.35">
      <c r="B206" s="4" t="s">
        <v>156</v>
      </c>
      <c r="H206" s="17">
        <f>$H$58</f>
        <v>0.03</v>
      </c>
      <c r="I206" s="4" t="s">
        <v>43</v>
      </c>
      <c r="Q206" s="24"/>
      <c r="R206" s="24"/>
      <c r="S206" s="24"/>
      <c r="T206" s="24"/>
      <c r="U206" s="24"/>
      <c r="V206" s="24"/>
      <c r="W206" s="24"/>
      <c r="X206" s="24"/>
    </row>
    <row r="207" spans="1:24" ht="21" thickBot="1" x14ac:dyDescent="0.4">
      <c r="B207" s="4" t="s">
        <v>157</v>
      </c>
      <c r="H207" s="21">
        <f>H178+H135</f>
        <v>3895.2809732420646</v>
      </c>
      <c r="I207" s="4" t="s">
        <v>63</v>
      </c>
      <c r="J207" s="4" t="s">
        <v>158</v>
      </c>
      <c r="Q207" s="24"/>
      <c r="R207" s="24"/>
      <c r="S207" s="24"/>
      <c r="T207" s="24"/>
      <c r="U207" s="24"/>
      <c r="V207" s="24"/>
      <c r="W207" s="24"/>
      <c r="X207" s="24"/>
    </row>
    <row r="208" spans="1:24" ht="21" thickBot="1" x14ac:dyDescent="0.4">
      <c r="B208" s="4" t="s">
        <v>85</v>
      </c>
      <c r="H208" s="21">
        <f>H207*(1-H188)</f>
        <v>1558.112389296826</v>
      </c>
      <c r="I208" s="4" t="s">
        <v>63</v>
      </c>
      <c r="J208" s="4" t="s">
        <v>159</v>
      </c>
      <c r="Q208" s="24"/>
      <c r="R208" s="24"/>
      <c r="S208" s="24"/>
      <c r="T208" s="24"/>
      <c r="U208" s="24"/>
      <c r="V208" s="24"/>
      <c r="W208" s="24"/>
      <c r="X208" s="24"/>
    </row>
    <row r="209" spans="1:24" ht="23.25" thickBot="1" x14ac:dyDescent="0.35">
      <c r="B209" s="4" t="s">
        <v>160</v>
      </c>
      <c r="H209" s="31">
        <f>$H$194</f>
        <v>115.1491593735</v>
      </c>
      <c r="I209" s="4" t="s">
        <v>7</v>
      </c>
      <c r="J209" s="4" t="s">
        <v>161</v>
      </c>
      <c r="Q209" s="24"/>
      <c r="R209" s="24"/>
      <c r="S209" s="24"/>
      <c r="T209" s="24"/>
      <c r="U209" s="24"/>
      <c r="V209" s="24"/>
      <c r="W209" s="24"/>
      <c r="X209" s="24"/>
    </row>
    <row r="210" spans="1:24" ht="19.5" thickBot="1" x14ac:dyDescent="0.35">
      <c r="B210" s="4" t="s">
        <v>162</v>
      </c>
      <c r="H210" s="17">
        <f>$H$187</f>
        <v>20</v>
      </c>
      <c r="I210" s="4" t="s">
        <v>45</v>
      </c>
      <c r="Q210" s="24"/>
      <c r="R210" s="24"/>
      <c r="S210" s="24"/>
      <c r="T210" s="24"/>
      <c r="U210" s="24"/>
      <c r="V210" s="24"/>
      <c r="W210" s="24"/>
      <c r="X210" s="24"/>
    </row>
    <row r="211" spans="1:24" ht="21" thickBot="1" x14ac:dyDescent="0.4">
      <c r="B211" s="4" t="s">
        <v>163</v>
      </c>
      <c r="H211" s="21">
        <f>(H205*(H207-H208))/(1+(H206*H210))</f>
        <v>116.85842919726193</v>
      </c>
      <c r="I211" s="4" t="s">
        <v>63</v>
      </c>
      <c r="J211" s="4" t="s">
        <v>164</v>
      </c>
      <c r="Q211" s="24"/>
      <c r="R211" s="24"/>
      <c r="S211" s="24"/>
      <c r="T211" s="24"/>
      <c r="U211" s="24"/>
      <c r="V211" s="24"/>
      <c r="W211" s="24"/>
      <c r="X211" s="24"/>
    </row>
    <row r="212" spans="1:24" ht="24" thickBot="1" x14ac:dyDescent="0.4">
      <c r="B212" s="4" t="s">
        <v>165</v>
      </c>
      <c r="H212" s="21">
        <f>((H207-H208)-(1.42*H211))*0.35</f>
        <v>759.93036506979422</v>
      </c>
      <c r="I212" s="4" t="s">
        <v>7</v>
      </c>
      <c r="Q212" s="24"/>
      <c r="R212" s="24"/>
      <c r="S212" s="24"/>
      <c r="T212" s="24"/>
      <c r="U212" s="24"/>
      <c r="V212" s="24"/>
      <c r="W212" s="24"/>
      <c r="X212" s="24"/>
    </row>
    <row r="213" spans="1:24" ht="24" thickBot="1" x14ac:dyDescent="0.4">
      <c r="B213" s="4" t="s">
        <v>166</v>
      </c>
      <c r="H213" s="21">
        <f>H212/0.65</f>
        <v>1169.1236385689142</v>
      </c>
      <c r="I213" s="4" t="s">
        <v>7</v>
      </c>
      <c r="J213" s="4" t="s">
        <v>167</v>
      </c>
      <c r="Q213" s="24"/>
      <c r="R213" s="24"/>
      <c r="S213" s="24"/>
      <c r="T213" s="24"/>
      <c r="U213" s="24"/>
      <c r="V213" s="24"/>
      <c r="W213" s="24"/>
      <c r="X213" s="24"/>
    </row>
    <row r="214" spans="1:24" ht="23.25" thickBot="1" x14ac:dyDescent="0.35">
      <c r="B214" s="4" t="s">
        <v>168</v>
      </c>
      <c r="H214" s="21">
        <f>H213*1.12</f>
        <v>1309.4184751971841</v>
      </c>
      <c r="I214" s="4" t="s">
        <v>63</v>
      </c>
      <c r="J214" s="4" t="s">
        <v>245</v>
      </c>
      <c r="Q214" s="24"/>
      <c r="R214" s="24"/>
      <c r="S214" s="24"/>
      <c r="T214" s="24"/>
      <c r="U214" s="24"/>
      <c r="V214" s="24"/>
      <c r="W214" s="24"/>
      <c r="X214" s="24"/>
    </row>
    <row r="216" spans="1:24" x14ac:dyDescent="0.3">
      <c r="A216" s="1" t="s">
        <v>169</v>
      </c>
      <c r="B216" s="4" t="s">
        <v>170</v>
      </c>
    </row>
    <row r="217" spans="1:24" ht="21" thickBot="1" x14ac:dyDescent="0.4">
      <c r="B217" s="4" t="s">
        <v>171</v>
      </c>
    </row>
    <row r="218" spans="1:24" ht="19.5" thickBot="1" x14ac:dyDescent="0.35">
      <c r="B218" s="4" t="s">
        <v>172</v>
      </c>
      <c r="H218" s="21">
        <f>H193-H196</f>
        <v>2595.5055937349994</v>
      </c>
      <c r="I218" s="4" t="s">
        <v>63</v>
      </c>
    </row>
    <row r="219" spans="1:24" ht="21" thickBot="1" x14ac:dyDescent="0.4">
      <c r="B219" s="4" t="s">
        <v>173</v>
      </c>
      <c r="H219" s="21">
        <f>H218+(H196-H199)</f>
        <v>4209.1265437109996</v>
      </c>
      <c r="I219" s="4" t="s">
        <v>63</v>
      </c>
    </row>
    <row r="221" spans="1:24" ht="19.5" thickBot="1" x14ac:dyDescent="0.35">
      <c r="B221" s="4" t="s">
        <v>175</v>
      </c>
    </row>
    <row r="222" spans="1:24" ht="19.5" thickBot="1" x14ac:dyDescent="0.35">
      <c r="B222" s="4" t="s">
        <v>176</v>
      </c>
      <c r="H222" s="21">
        <f>H201+H202</f>
        <v>115149.15937350001</v>
      </c>
      <c r="I222" s="4" t="s">
        <v>63</v>
      </c>
    </row>
    <row r="223" spans="1:24" ht="19.5" thickBot="1" x14ac:dyDescent="0.35">
      <c r="B223" s="4" t="s">
        <v>177</v>
      </c>
      <c r="H223" s="21">
        <f>H214</f>
        <v>1309.4184751971841</v>
      </c>
      <c r="I223" s="4" t="s">
        <v>63</v>
      </c>
    </row>
    <row r="224" spans="1:24" ht="19.5" thickBot="1" x14ac:dyDescent="0.35">
      <c r="B224" s="4" t="s">
        <v>178</v>
      </c>
      <c r="H224" s="21">
        <f>H222-H223</f>
        <v>113839.74089830283</v>
      </c>
      <c r="I224" s="4" t="s">
        <v>63</v>
      </c>
      <c r="J224" s="4" t="s">
        <v>179</v>
      </c>
    </row>
    <row r="226" spans="1:9" ht="19.5" thickBot="1" x14ac:dyDescent="0.35">
      <c r="A226" s="1" t="s">
        <v>180</v>
      </c>
      <c r="B226" s="4" t="s">
        <v>181</v>
      </c>
    </row>
    <row r="227" spans="1:9" ht="21" thickBot="1" x14ac:dyDescent="0.4">
      <c r="B227" s="4" t="s">
        <v>182</v>
      </c>
      <c r="H227" s="30">
        <f>$H$67</f>
        <v>5.0000000000000001E-3</v>
      </c>
    </row>
    <row r="228" spans="1:9" ht="21" thickBot="1" x14ac:dyDescent="0.4">
      <c r="B228" s="4" t="s">
        <v>183</v>
      </c>
      <c r="H228" s="23">
        <f>$H$56</f>
        <v>0.05</v>
      </c>
    </row>
    <row r="230" spans="1:9" x14ac:dyDescent="0.3">
      <c r="B230" s="4" t="s">
        <v>184</v>
      </c>
    </row>
    <row r="231" spans="1:9" ht="20.25" x14ac:dyDescent="0.35">
      <c r="B231" s="4" t="s">
        <v>246</v>
      </c>
    </row>
    <row r="232" spans="1:9" x14ac:dyDescent="0.3">
      <c r="B232" s="4" t="s">
        <v>185</v>
      </c>
    </row>
    <row r="233" spans="1:9" ht="19.5" thickBot="1" x14ac:dyDescent="0.35">
      <c r="B233" s="4" t="s">
        <v>186</v>
      </c>
    </row>
    <row r="234" spans="1:9" ht="19.5" thickBot="1" x14ac:dyDescent="0.35">
      <c r="B234" s="4" t="s">
        <v>187</v>
      </c>
      <c r="H234" s="21">
        <f>((H224*H227*H228)-(H219*H227))/(H228-H227)</f>
        <v>164.76227791157135</v>
      </c>
      <c r="I234" s="4" t="s">
        <v>63</v>
      </c>
    </row>
    <row r="235" spans="1:9" ht="21" thickBot="1" x14ac:dyDescent="0.4">
      <c r="B235" s="4" t="s">
        <v>188</v>
      </c>
      <c r="H235" s="21">
        <f>H234</f>
        <v>164.76227791157135</v>
      </c>
      <c r="I235" s="4" t="s">
        <v>63</v>
      </c>
    </row>
    <row r="236" spans="1:9" ht="21" thickBot="1" x14ac:dyDescent="0.4">
      <c r="B236" s="4" t="s">
        <v>189</v>
      </c>
      <c r="H236" s="21">
        <f>H219-H235</f>
        <v>4044.3642657994283</v>
      </c>
      <c r="I236" s="4" t="s">
        <v>63</v>
      </c>
    </row>
    <row r="237" spans="1:9" ht="19.5" thickBot="1" x14ac:dyDescent="0.35"/>
    <row r="238" spans="1:9" ht="23.25" thickBot="1" x14ac:dyDescent="0.35">
      <c r="B238" s="4" t="s">
        <v>190</v>
      </c>
      <c r="H238" s="21">
        <f>H235/(H227*10^3)</f>
        <v>32.952455582314272</v>
      </c>
      <c r="I238" s="4" t="s">
        <v>7</v>
      </c>
    </row>
    <row r="239" spans="1:9" ht="23.25" thickBot="1" x14ac:dyDescent="0.35">
      <c r="B239" s="4" t="s">
        <v>191</v>
      </c>
      <c r="H239" s="21">
        <f>H236/(H228*10^3)</f>
        <v>80.887285315988564</v>
      </c>
      <c r="I239" s="4" t="s">
        <v>7</v>
      </c>
    </row>
    <row r="241" spans="1:9" ht="19.5" thickBot="1" x14ac:dyDescent="0.35">
      <c r="A241" s="1" t="s">
        <v>192</v>
      </c>
      <c r="B241" s="4" t="s">
        <v>193</v>
      </c>
    </row>
    <row r="242" spans="1:9" ht="23.25" thickBot="1" x14ac:dyDescent="0.35">
      <c r="B242" s="4" t="s">
        <v>106</v>
      </c>
      <c r="H242" s="21">
        <f>H238</f>
        <v>32.952455582314272</v>
      </c>
      <c r="I242" s="4" t="s">
        <v>7</v>
      </c>
    </row>
    <row r="243" spans="1:9" ht="21" thickBot="1" x14ac:dyDescent="0.4">
      <c r="B243" s="4" t="s">
        <v>194</v>
      </c>
      <c r="H243" s="21">
        <f>(H242*H189)/(10^3)</f>
        <v>32.952455582314272</v>
      </c>
      <c r="I243" s="4" t="s">
        <v>63</v>
      </c>
    </row>
    <row r="244" spans="1:9" ht="21" thickBot="1" x14ac:dyDescent="0.4">
      <c r="B244" s="4" t="s">
        <v>188</v>
      </c>
      <c r="H244" s="21">
        <f>H235</f>
        <v>164.76227791157135</v>
      </c>
      <c r="I244" s="4" t="s">
        <v>63</v>
      </c>
    </row>
    <row r="246" spans="1:9" x14ac:dyDescent="0.3">
      <c r="A246" s="1" t="s">
        <v>25</v>
      </c>
      <c r="B246" s="4" t="s">
        <v>195</v>
      </c>
    </row>
    <row r="247" spans="1:9" ht="19.5" thickBot="1" x14ac:dyDescent="0.35">
      <c r="A247" s="1" t="s">
        <v>87</v>
      </c>
      <c r="B247" s="4" t="s">
        <v>196</v>
      </c>
    </row>
    <row r="248" spans="1:9" ht="19.5" thickBot="1" x14ac:dyDescent="0.35">
      <c r="B248" s="5" t="s">
        <v>53</v>
      </c>
      <c r="H248" s="16">
        <f>$H$61</f>
        <v>0.22</v>
      </c>
      <c r="I248" s="4" t="s">
        <v>54</v>
      </c>
    </row>
    <row r="249" spans="1:9" ht="19.5" thickBot="1" x14ac:dyDescent="0.35">
      <c r="B249" s="5" t="s">
        <v>55</v>
      </c>
      <c r="H249" s="44">
        <f>$H$62</f>
        <v>1.123</v>
      </c>
    </row>
    <row r="250" spans="1:9" ht="19.5" thickBot="1" x14ac:dyDescent="0.35">
      <c r="B250" s="5" t="s">
        <v>56</v>
      </c>
      <c r="H250" s="16">
        <f>$H$63</f>
        <v>0.6</v>
      </c>
    </row>
    <row r="251" spans="1:9" ht="21" thickBot="1" x14ac:dyDescent="0.4">
      <c r="B251" s="5" t="s">
        <v>57</v>
      </c>
      <c r="H251" s="26">
        <f>$H$64</f>
        <v>2000</v>
      </c>
      <c r="I251" s="4" t="s">
        <v>58</v>
      </c>
    </row>
    <row r="252" spans="1:9" ht="23.25" thickBot="1" x14ac:dyDescent="0.35">
      <c r="B252" s="5" t="s">
        <v>197</v>
      </c>
      <c r="H252" s="26">
        <f>$H$68</f>
        <v>1000</v>
      </c>
      <c r="I252" s="4" t="s">
        <v>174</v>
      </c>
    </row>
    <row r="254" spans="1:9" ht="19.5" thickBot="1" x14ac:dyDescent="0.35">
      <c r="A254" s="1" t="s">
        <v>115</v>
      </c>
      <c r="B254" s="4" t="s">
        <v>198</v>
      </c>
    </row>
    <row r="255" spans="1:9" ht="19.5" thickBot="1" x14ac:dyDescent="0.35">
      <c r="B255" s="4" t="s">
        <v>199</v>
      </c>
      <c r="H255" s="21">
        <f>H236*H250</f>
        <v>2426.6185594796571</v>
      </c>
      <c r="I255" s="4" t="s">
        <v>63</v>
      </c>
    </row>
    <row r="256" spans="1:9" ht="23.25" thickBot="1" x14ac:dyDescent="0.35">
      <c r="B256" s="4" t="s">
        <v>223</v>
      </c>
      <c r="H256" s="21">
        <f>H255/(H249*H248*1000)</f>
        <v>9.8219807313189396</v>
      </c>
      <c r="I256" s="4" t="s">
        <v>7</v>
      </c>
    </row>
    <row r="258" spans="1:9" ht="19.5" thickBot="1" x14ac:dyDescent="0.35">
      <c r="A258" s="1" t="s">
        <v>91</v>
      </c>
      <c r="B258" s="4" t="s">
        <v>200</v>
      </c>
    </row>
    <row r="259" spans="1:9" ht="23.25" thickBot="1" x14ac:dyDescent="0.35">
      <c r="B259" s="4" t="s">
        <v>201</v>
      </c>
      <c r="H259" s="21">
        <f>H239-H256</f>
        <v>71.065304584669619</v>
      </c>
      <c r="I259" s="4" t="s">
        <v>7</v>
      </c>
    </row>
    <row r="260" spans="1:9" ht="21" thickBot="1" x14ac:dyDescent="0.4">
      <c r="B260" s="4" t="s">
        <v>202</v>
      </c>
      <c r="H260" s="21">
        <f>(H259*H251)/(10^3)</f>
        <v>142.13060916933924</v>
      </c>
      <c r="I260" s="4" t="s">
        <v>63</v>
      </c>
    </row>
    <row r="261" spans="1:9" ht="21" thickBot="1" x14ac:dyDescent="0.4">
      <c r="B261" s="4" t="s">
        <v>203</v>
      </c>
      <c r="H261" s="21">
        <f>H236-H255</f>
        <v>1617.7457063197712</v>
      </c>
      <c r="I261" s="4" t="s">
        <v>63</v>
      </c>
    </row>
    <row r="263" spans="1:9" x14ac:dyDescent="0.3">
      <c r="A263" s="1" t="s">
        <v>27</v>
      </c>
      <c r="B263" s="4" t="s">
        <v>204</v>
      </c>
    </row>
    <row r="265" spans="1:9" ht="23.25" x14ac:dyDescent="0.35">
      <c r="B265" s="28" t="s">
        <v>205</v>
      </c>
      <c r="C265" s="28" t="s">
        <v>206</v>
      </c>
      <c r="D265" s="28" t="s">
        <v>207</v>
      </c>
      <c r="E265" s="28" t="s">
        <v>208</v>
      </c>
    </row>
    <row r="266" spans="1:9" x14ac:dyDescent="0.3">
      <c r="B266" s="28" t="s">
        <v>247</v>
      </c>
      <c r="C266" s="29">
        <f>H128</f>
        <v>66.690000000000012</v>
      </c>
      <c r="D266" s="29">
        <f>H133</f>
        <v>496.9692144000004</v>
      </c>
      <c r="E266" s="29">
        <f>H130</f>
        <v>923.40000000000055</v>
      </c>
    </row>
    <row r="267" spans="1:9" x14ac:dyDescent="0.3">
      <c r="B267" s="28" t="s">
        <v>209</v>
      </c>
      <c r="C267" s="29">
        <f>H172</f>
        <v>193.8002007336429</v>
      </c>
      <c r="D267" s="29">
        <f>H184</f>
        <v>97.420744384352972</v>
      </c>
      <c r="E267" s="29">
        <f>H180</f>
        <v>155.21755207499996</v>
      </c>
    </row>
    <row r="268" spans="1:9" x14ac:dyDescent="0.3">
      <c r="B268" s="28" t="s">
        <v>210</v>
      </c>
      <c r="C268" s="29">
        <f>H238</f>
        <v>32.952455582314272</v>
      </c>
      <c r="D268" s="29">
        <f>H243</f>
        <v>32.952455582314272</v>
      </c>
      <c r="E268" s="29">
        <f>H244</f>
        <v>164.76227791157135</v>
      </c>
    </row>
    <row r="269" spans="1:9" x14ac:dyDescent="0.3">
      <c r="B269" s="28" t="s">
        <v>211</v>
      </c>
      <c r="C269" s="29">
        <f>H259</f>
        <v>71.065304584669619</v>
      </c>
      <c r="D269" s="29">
        <f>H260</f>
        <v>142.13060916933924</v>
      </c>
      <c r="E269" s="29">
        <f>H261</f>
        <v>1617.7457063197712</v>
      </c>
    </row>
    <row r="270" spans="1:9" x14ac:dyDescent="0.3">
      <c r="B270" s="28" t="s">
        <v>212</v>
      </c>
      <c r="C270" s="29">
        <f>SUM(C266:C269)</f>
        <v>364.50796090062676</v>
      </c>
      <c r="D270" s="29">
        <f t="shared" ref="D270:E270" si="0">SUM(D266:D269)</f>
        <v>769.47302353600685</v>
      </c>
      <c r="E270" s="29">
        <f t="shared" si="0"/>
        <v>2861.1255363063428</v>
      </c>
    </row>
  </sheetData>
  <mergeCells count="6">
    <mergeCell ref="S13:T13"/>
    <mergeCell ref="N16:Q16"/>
    <mergeCell ref="N15:Q15"/>
    <mergeCell ref="N14:Q14"/>
    <mergeCell ref="N17:Q17"/>
    <mergeCell ref="M13:Q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6th Iteration</vt:lpstr>
      <vt:lpstr>5th Iteration</vt:lpstr>
      <vt:lpstr>4th Iteration</vt:lpstr>
      <vt:lpstr>3rd Iteration</vt:lpstr>
      <vt:lpstr>2nd Iteration</vt:lpstr>
      <vt:lpstr>1st Iteration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Ayush Nath Ghimire</dc:creator>
  <cp:lastModifiedBy>Ayush Nath Ghimire</cp:lastModifiedBy>
  <dcterms:created xsi:type="dcterms:W3CDTF">2024-01-08T11:22:47Z</dcterms:created>
  <dcterms:modified xsi:type="dcterms:W3CDTF">2024-01-26T11:27:11Z</dcterms:modified>
</cp:coreProperties>
</file>